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firstSheet="80" activeTab="94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3" r:id="rId21"/>
    <sheet name="Item22" sheetId="24" r:id="rId22"/>
    <sheet name="Item23" sheetId="25" r:id="rId23"/>
    <sheet name="Item24" sheetId="26" r:id="rId24"/>
    <sheet name="Item25" sheetId="27" r:id="rId25"/>
    <sheet name="Item26" sheetId="28" r:id="rId26"/>
    <sheet name="Item27" sheetId="29" r:id="rId27"/>
    <sheet name="Item28" sheetId="30" r:id="rId28"/>
    <sheet name="Item29" sheetId="31" r:id="rId29"/>
    <sheet name="Item30" sheetId="32" r:id="rId30"/>
    <sheet name="Item31" sheetId="33" r:id="rId31"/>
    <sheet name="Item32" sheetId="34" r:id="rId32"/>
    <sheet name="Item33" sheetId="35" r:id="rId33"/>
    <sheet name="Item34" sheetId="36" r:id="rId34"/>
    <sheet name="Item35" sheetId="37" r:id="rId35"/>
    <sheet name="Item36" sheetId="38" r:id="rId36"/>
    <sheet name="Item37" sheetId="39" r:id="rId37"/>
    <sheet name="Item38" sheetId="40" r:id="rId38"/>
    <sheet name="Item39" sheetId="41" r:id="rId39"/>
    <sheet name="Item40" sheetId="42" r:id="rId40"/>
    <sheet name="Item41" sheetId="43" r:id="rId41"/>
    <sheet name="Item42" sheetId="44" r:id="rId42"/>
    <sheet name="Item43" sheetId="45" r:id="rId43"/>
    <sheet name="Item44" sheetId="46" r:id="rId44"/>
    <sheet name="Item45" sheetId="47" r:id="rId45"/>
    <sheet name="Item46" sheetId="48" r:id="rId46"/>
    <sheet name="Item47" sheetId="49" r:id="rId47"/>
    <sheet name="Item48" sheetId="50" r:id="rId48"/>
    <sheet name="Item49" sheetId="51" r:id="rId49"/>
    <sheet name="Item50" sheetId="52" r:id="rId50"/>
    <sheet name="Item51" sheetId="53" r:id="rId51"/>
    <sheet name="Item52" sheetId="54" r:id="rId52"/>
    <sheet name="Item53" sheetId="55" r:id="rId53"/>
    <sheet name="Item54" sheetId="56" r:id="rId54"/>
    <sheet name="Item55" sheetId="57" r:id="rId55"/>
    <sheet name="Item56" sheetId="58" r:id="rId56"/>
    <sheet name="Item57" sheetId="59" r:id="rId57"/>
    <sheet name="Item58" sheetId="60" r:id="rId58"/>
    <sheet name="Item59" sheetId="61" r:id="rId59"/>
    <sheet name="Item60" sheetId="62" r:id="rId60"/>
    <sheet name="Item61" sheetId="63" r:id="rId61"/>
    <sheet name="Item62" sheetId="64" r:id="rId62"/>
    <sheet name="Item63" sheetId="65" r:id="rId63"/>
    <sheet name="Item64" sheetId="66" r:id="rId64"/>
    <sheet name="Item65" sheetId="67" r:id="rId65"/>
    <sheet name="Item66" sheetId="68" r:id="rId66"/>
    <sheet name="Item67" sheetId="69" r:id="rId67"/>
    <sheet name="Item68" sheetId="70" r:id="rId68"/>
    <sheet name="Item69" sheetId="71" r:id="rId69"/>
    <sheet name="Item70" sheetId="72" r:id="rId70"/>
    <sheet name="Item71" sheetId="73" r:id="rId71"/>
    <sheet name="Item72" sheetId="74" r:id="rId72"/>
    <sheet name="Item73" sheetId="75" r:id="rId73"/>
    <sheet name="Item74" sheetId="76" r:id="rId74"/>
    <sheet name="Item75" sheetId="77" r:id="rId75"/>
    <sheet name="Item76" sheetId="78" r:id="rId76"/>
    <sheet name="Item77" sheetId="79" r:id="rId77"/>
    <sheet name="Item78" sheetId="80" r:id="rId78"/>
    <sheet name="Item79" sheetId="81" r:id="rId79"/>
    <sheet name="Item80" sheetId="82" r:id="rId80"/>
    <sheet name="Item81" sheetId="83" r:id="rId81"/>
    <sheet name="Item82" sheetId="84" r:id="rId82"/>
    <sheet name="Item83" sheetId="85" r:id="rId83"/>
    <sheet name="Item84" sheetId="86" r:id="rId84"/>
    <sheet name="Item85" sheetId="87" r:id="rId85"/>
    <sheet name="Item86" sheetId="88" r:id="rId86"/>
    <sheet name="Item87" sheetId="89" r:id="rId87"/>
    <sheet name="Item88" sheetId="90" r:id="rId88"/>
    <sheet name="Item89" sheetId="91" r:id="rId89"/>
    <sheet name="Item90" sheetId="92" r:id="rId90"/>
    <sheet name="Item91" sheetId="93" r:id="rId91"/>
    <sheet name="Item92" sheetId="94" r:id="rId92"/>
    <sheet name="Item93" sheetId="95" r:id="rId93"/>
    <sheet name="Item94" sheetId="96" r:id="rId94"/>
    <sheet name="TOTAL" sheetId="3" r:id="rId95"/>
  </sheets>
  <definedNames>
    <definedName name="_xlnm.Print_Titles" localSheetId="94">TOTAL!$1:$2</definedName>
  </definedNames>
  <calcPr calcId="145621"/>
</workbook>
</file>

<file path=xl/calcChain.xml><?xml version="1.0" encoding="utf-8"?>
<calcChain xmlns="http://schemas.openxmlformats.org/spreadsheetml/2006/main">
  <c r="B12" i="3" l="1"/>
  <c r="H3" i="96" l="1"/>
  <c r="H3" i="95"/>
  <c r="H3" i="94"/>
  <c r="H3" i="93"/>
  <c r="H3" i="92"/>
  <c r="H3" i="91"/>
  <c r="H3" i="90"/>
  <c r="H3" i="89"/>
  <c r="H3" i="88"/>
  <c r="H3" i="87"/>
  <c r="H3" i="86"/>
  <c r="H3" i="85"/>
  <c r="H3" i="84"/>
  <c r="H3" i="83"/>
  <c r="H3" i="82"/>
  <c r="H3" i="81"/>
  <c r="H3" i="80"/>
  <c r="H3" i="79"/>
  <c r="H3" i="78"/>
  <c r="H3" i="77"/>
  <c r="H3" i="76"/>
  <c r="H3" i="75"/>
  <c r="H3" i="74"/>
  <c r="H3" i="73"/>
  <c r="H3" i="72"/>
  <c r="H3" i="71"/>
  <c r="H3" i="70"/>
  <c r="H3" i="69"/>
  <c r="H3" i="68"/>
  <c r="H3" i="67"/>
  <c r="H3" i="66"/>
  <c r="H3" i="65"/>
  <c r="H3" i="64"/>
  <c r="H3" i="63"/>
  <c r="H3" i="62"/>
  <c r="H3" i="61"/>
  <c r="H3" i="60"/>
  <c r="H3" i="59"/>
  <c r="H3" i="58"/>
  <c r="H3" i="57"/>
  <c r="H3" i="56"/>
  <c r="H3" i="55"/>
  <c r="H3" i="54"/>
  <c r="H3" i="53"/>
  <c r="H3" i="52"/>
  <c r="H3" i="51"/>
  <c r="H3" i="50"/>
  <c r="H3" i="49"/>
  <c r="H3" i="48"/>
  <c r="H3" i="47"/>
  <c r="H3" i="46"/>
  <c r="H3" i="45"/>
  <c r="H3" i="44"/>
  <c r="H3" i="43"/>
  <c r="H3" i="42"/>
  <c r="H3" i="41"/>
  <c r="H3" i="40"/>
  <c r="H3" i="39"/>
  <c r="H3" i="38"/>
  <c r="H3" i="37"/>
  <c r="H3" i="36"/>
  <c r="H3" i="35"/>
  <c r="H3" i="34"/>
  <c r="H3" i="33"/>
  <c r="H3" i="32"/>
  <c r="H3" i="31"/>
  <c r="H3" i="30"/>
  <c r="H3" i="29"/>
  <c r="H3" i="28"/>
  <c r="H3" i="27"/>
  <c r="H3" i="26"/>
  <c r="H3" i="25"/>
  <c r="H3" i="24"/>
  <c r="H3" i="23"/>
  <c r="H3" i="22"/>
  <c r="H3" i="21"/>
  <c r="H3" i="20"/>
  <c r="H3" i="19"/>
  <c r="H3" i="18"/>
  <c r="H3" i="17"/>
  <c r="H3" i="16"/>
  <c r="H3" i="15"/>
  <c r="H3" i="14"/>
  <c r="H4" i="13"/>
  <c r="H3" i="12"/>
  <c r="H3" i="11"/>
  <c r="H3" i="10"/>
  <c r="H3" i="9"/>
  <c r="H3" i="8"/>
  <c r="H3" i="7"/>
  <c r="H3" i="6"/>
  <c r="H3" i="5"/>
  <c r="H3" i="4"/>
  <c r="H3" i="2"/>
  <c r="I6" i="91" l="1"/>
  <c r="D16" i="3" l="1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4" i="3"/>
  <c r="D35" i="3"/>
  <c r="D36" i="3"/>
  <c r="D37" i="3"/>
  <c r="D38" i="3"/>
  <c r="D39" i="3"/>
  <c r="D40" i="3"/>
  <c r="D41" i="3"/>
  <c r="D44" i="3"/>
  <c r="D45" i="3"/>
  <c r="D46" i="3"/>
  <c r="D47" i="3"/>
  <c r="D48" i="3"/>
  <c r="D49" i="3"/>
  <c r="D50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7" i="3"/>
  <c r="D78" i="3"/>
  <c r="D79" i="3"/>
  <c r="D80" i="3"/>
  <c r="D81" i="3"/>
  <c r="D82" i="3"/>
  <c r="D83" i="3"/>
  <c r="D84" i="3"/>
  <c r="D85" i="3"/>
  <c r="D86" i="3"/>
  <c r="D87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7" i="3"/>
  <c r="C86" i="3"/>
  <c r="C85" i="3"/>
  <c r="C84" i="3"/>
  <c r="C83" i="3"/>
  <c r="C82" i="3"/>
  <c r="C81" i="3"/>
  <c r="C80" i="3"/>
  <c r="C79" i="3"/>
  <c r="C78" i="3"/>
  <c r="C77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0" i="3"/>
  <c r="C49" i="3"/>
  <c r="C48" i="3"/>
  <c r="C47" i="3"/>
  <c r="C46" i="3"/>
  <c r="C45" i="3"/>
  <c r="C44" i="3"/>
  <c r="C41" i="3"/>
  <c r="C40" i="3"/>
  <c r="C39" i="3"/>
  <c r="C38" i="3"/>
  <c r="C37" i="3"/>
  <c r="C36" i="3"/>
  <c r="C35" i="3"/>
  <c r="C34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6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7" i="3"/>
  <c r="B86" i="3"/>
  <c r="B85" i="3"/>
  <c r="B84" i="3"/>
  <c r="B83" i="3"/>
  <c r="B82" i="3"/>
  <c r="B81" i="3"/>
  <c r="B80" i="3"/>
  <c r="B79" i="3"/>
  <c r="B78" i="3"/>
  <c r="B77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0" i="3"/>
  <c r="B49" i="3"/>
  <c r="B48" i="3"/>
  <c r="B47" i="3"/>
  <c r="B46" i="3"/>
  <c r="B45" i="3"/>
  <c r="B44" i="3"/>
  <c r="B41" i="3"/>
  <c r="B40" i="3"/>
  <c r="B39" i="3"/>
  <c r="B38" i="3"/>
  <c r="B37" i="3"/>
  <c r="B36" i="3"/>
  <c r="B35" i="3"/>
  <c r="B34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6" i="3"/>
  <c r="H23" i="96"/>
  <c r="F20" i="96"/>
  <c r="D20" i="96"/>
  <c r="I17" i="96"/>
  <c r="I16" i="96"/>
  <c r="I15" i="96"/>
  <c r="I14" i="96"/>
  <c r="I13" i="96"/>
  <c r="I12" i="96"/>
  <c r="I11" i="96"/>
  <c r="I10" i="96"/>
  <c r="I9" i="96"/>
  <c r="I8" i="96"/>
  <c r="I7" i="96"/>
  <c r="I6" i="96"/>
  <c r="H23" i="95"/>
  <c r="B20" i="95" s="1"/>
  <c r="F20" i="95"/>
  <c r="D20" i="95"/>
  <c r="I17" i="95"/>
  <c r="I16" i="95"/>
  <c r="I15" i="95"/>
  <c r="I14" i="95"/>
  <c r="I13" i="95"/>
  <c r="I12" i="95"/>
  <c r="I11" i="95"/>
  <c r="I10" i="95"/>
  <c r="I9" i="95"/>
  <c r="I8" i="95"/>
  <c r="I7" i="95"/>
  <c r="I6" i="95"/>
  <c r="H23" i="94"/>
  <c r="F20" i="94"/>
  <c r="D20" i="94"/>
  <c r="I17" i="94"/>
  <c r="I16" i="94"/>
  <c r="I15" i="94"/>
  <c r="I14" i="94"/>
  <c r="I13" i="94"/>
  <c r="I12" i="94"/>
  <c r="I11" i="94"/>
  <c r="I10" i="94"/>
  <c r="I9" i="94"/>
  <c r="I8" i="94"/>
  <c r="I7" i="94"/>
  <c r="I6" i="94"/>
  <c r="H23" i="93"/>
  <c r="F20" i="93"/>
  <c r="D20" i="93"/>
  <c r="I17" i="93"/>
  <c r="I16" i="93"/>
  <c r="I15" i="93"/>
  <c r="I14" i="93"/>
  <c r="I13" i="93"/>
  <c r="I12" i="93"/>
  <c r="I11" i="93"/>
  <c r="I10" i="93"/>
  <c r="I9" i="93"/>
  <c r="I8" i="93"/>
  <c r="I7" i="93"/>
  <c r="I6" i="93"/>
  <c r="H23" i="92"/>
  <c r="B20" i="92" s="1"/>
  <c r="F20" i="92"/>
  <c r="D20" i="92"/>
  <c r="I17" i="92"/>
  <c r="I16" i="92"/>
  <c r="I15" i="92"/>
  <c r="I14" i="92"/>
  <c r="I13" i="92"/>
  <c r="I12" i="92"/>
  <c r="I11" i="92"/>
  <c r="I10" i="92"/>
  <c r="I9" i="92"/>
  <c r="I8" i="92"/>
  <c r="I7" i="92"/>
  <c r="I6" i="92"/>
  <c r="H23" i="91"/>
  <c r="B20" i="91" s="1"/>
  <c r="F20" i="91"/>
  <c r="D20" i="91"/>
  <c r="I17" i="91"/>
  <c r="I16" i="91"/>
  <c r="I15" i="91"/>
  <c r="I14" i="91"/>
  <c r="I13" i="91"/>
  <c r="I12" i="91"/>
  <c r="I11" i="91"/>
  <c r="I10" i="91"/>
  <c r="I9" i="91"/>
  <c r="I8" i="91"/>
  <c r="I7" i="91"/>
  <c r="H23" i="90"/>
  <c r="B20" i="90" s="1"/>
  <c r="F20" i="90"/>
  <c r="D20" i="90"/>
  <c r="I17" i="90"/>
  <c r="I16" i="90"/>
  <c r="I15" i="90"/>
  <c r="I14" i="90"/>
  <c r="I13" i="90"/>
  <c r="I12" i="90"/>
  <c r="I11" i="90"/>
  <c r="I10" i="90"/>
  <c r="I9" i="90"/>
  <c r="I8" i="90"/>
  <c r="I7" i="90"/>
  <c r="I6" i="90"/>
  <c r="H23" i="89"/>
  <c r="F20" i="89"/>
  <c r="D20" i="89"/>
  <c r="I17" i="89"/>
  <c r="I16" i="89"/>
  <c r="I15" i="89"/>
  <c r="I14" i="89"/>
  <c r="I13" i="89"/>
  <c r="I12" i="89"/>
  <c r="I11" i="89"/>
  <c r="I10" i="89"/>
  <c r="I9" i="89"/>
  <c r="I8" i="89"/>
  <c r="I7" i="89"/>
  <c r="I6" i="89"/>
  <c r="H23" i="88"/>
  <c r="F20" i="88"/>
  <c r="D20" i="88"/>
  <c r="I17" i="88"/>
  <c r="I16" i="88"/>
  <c r="I15" i="88"/>
  <c r="I14" i="88"/>
  <c r="I13" i="88"/>
  <c r="I12" i="88"/>
  <c r="I11" i="88"/>
  <c r="I10" i="88"/>
  <c r="I9" i="88"/>
  <c r="I8" i="88"/>
  <c r="I7" i="88"/>
  <c r="I6" i="88"/>
  <c r="H23" i="87"/>
  <c r="B20" i="87" s="1"/>
  <c r="F20" i="87"/>
  <c r="D20" i="87"/>
  <c r="I17" i="87"/>
  <c r="I16" i="87"/>
  <c r="I15" i="87"/>
  <c r="I14" i="87"/>
  <c r="I13" i="87"/>
  <c r="I12" i="87"/>
  <c r="I11" i="87"/>
  <c r="I10" i="87"/>
  <c r="I9" i="87"/>
  <c r="I8" i="87"/>
  <c r="I7" i="87"/>
  <c r="I6" i="87"/>
  <c r="H23" i="86"/>
  <c r="B20" i="86" s="1"/>
  <c r="F20" i="86"/>
  <c r="D20" i="86"/>
  <c r="I17" i="86"/>
  <c r="I16" i="86"/>
  <c r="I15" i="86"/>
  <c r="I14" i="86"/>
  <c r="I13" i="86"/>
  <c r="I12" i="86"/>
  <c r="I11" i="86"/>
  <c r="I10" i="86"/>
  <c r="I9" i="86"/>
  <c r="I8" i="86"/>
  <c r="I7" i="86"/>
  <c r="I6" i="86"/>
  <c r="H23" i="85"/>
  <c r="F20" i="85"/>
  <c r="D20" i="85"/>
  <c r="I17" i="85"/>
  <c r="I16" i="85"/>
  <c r="I15" i="85"/>
  <c r="I14" i="85"/>
  <c r="I13" i="85"/>
  <c r="I12" i="85"/>
  <c r="I11" i="85"/>
  <c r="I10" i="85"/>
  <c r="I9" i="85"/>
  <c r="I8" i="85"/>
  <c r="I7" i="85"/>
  <c r="I6" i="85"/>
  <c r="H23" i="84"/>
  <c r="B20" i="84" s="1"/>
  <c r="F20" i="84"/>
  <c r="D20" i="84"/>
  <c r="I17" i="84"/>
  <c r="I16" i="84"/>
  <c r="I15" i="84"/>
  <c r="I14" i="84"/>
  <c r="I13" i="84"/>
  <c r="I12" i="84"/>
  <c r="I11" i="84"/>
  <c r="I10" i="84"/>
  <c r="I9" i="84"/>
  <c r="I8" i="84"/>
  <c r="I7" i="84"/>
  <c r="I6" i="84"/>
  <c r="H23" i="83"/>
  <c r="F20" i="83"/>
  <c r="D20" i="83"/>
  <c r="I17" i="83"/>
  <c r="I16" i="83"/>
  <c r="I15" i="83"/>
  <c r="I14" i="83"/>
  <c r="I13" i="83"/>
  <c r="I12" i="83"/>
  <c r="I11" i="83"/>
  <c r="I10" i="83"/>
  <c r="I9" i="83"/>
  <c r="I8" i="83"/>
  <c r="I7" i="83"/>
  <c r="I6" i="83"/>
  <c r="H23" i="82"/>
  <c r="B20" i="82" s="1"/>
  <c r="F20" i="82"/>
  <c r="D20" i="82"/>
  <c r="I17" i="82"/>
  <c r="I16" i="82"/>
  <c r="I15" i="82"/>
  <c r="I14" i="82"/>
  <c r="I13" i="82"/>
  <c r="I12" i="82"/>
  <c r="I11" i="82"/>
  <c r="I10" i="82"/>
  <c r="I9" i="82"/>
  <c r="I8" i="82"/>
  <c r="I7" i="82"/>
  <c r="I6" i="82"/>
  <c r="H23" i="81"/>
  <c r="F20" i="81"/>
  <c r="D20" i="81"/>
  <c r="I17" i="81"/>
  <c r="I16" i="81"/>
  <c r="I15" i="81"/>
  <c r="I14" i="81"/>
  <c r="I13" i="81"/>
  <c r="I12" i="81"/>
  <c r="I11" i="81"/>
  <c r="I10" i="81"/>
  <c r="I9" i="81"/>
  <c r="I8" i="81"/>
  <c r="I7" i="81"/>
  <c r="I6" i="81"/>
  <c r="H23" i="80"/>
  <c r="F20" i="80"/>
  <c r="D20" i="80"/>
  <c r="I17" i="80"/>
  <c r="I16" i="80"/>
  <c r="I15" i="80"/>
  <c r="I14" i="80"/>
  <c r="I13" i="80"/>
  <c r="I12" i="80"/>
  <c r="I11" i="80"/>
  <c r="I10" i="80"/>
  <c r="I9" i="80"/>
  <c r="I8" i="80"/>
  <c r="I7" i="80"/>
  <c r="I6" i="80"/>
  <c r="H23" i="79"/>
  <c r="B20" i="79" s="1"/>
  <c r="F20" i="79"/>
  <c r="D20" i="79"/>
  <c r="I17" i="79"/>
  <c r="I16" i="79"/>
  <c r="I15" i="79"/>
  <c r="I14" i="79"/>
  <c r="I13" i="79"/>
  <c r="I12" i="79"/>
  <c r="I11" i="79"/>
  <c r="I10" i="79"/>
  <c r="I9" i="79"/>
  <c r="I8" i="79"/>
  <c r="I7" i="79"/>
  <c r="I6" i="79"/>
  <c r="H23" i="78"/>
  <c r="B20" i="78" s="1"/>
  <c r="F20" i="78"/>
  <c r="D20" i="78"/>
  <c r="I17" i="78"/>
  <c r="I16" i="78"/>
  <c r="I15" i="78"/>
  <c r="I14" i="78"/>
  <c r="I13" i="78"/>
  <c r="I12" i="78"/>
  <c r="I11" i="78"/>
  <c r="I10" i="78"/>
  <c r="I9" i="78"/>
  <c r="I8" i="78"/>
  <c r="I7" i="78"/>
  <c r="I6" i="78"/>
  <c r="H23" i="77"/>
  <c r="B20" i="77" s="1"/>
  <c r="F20" i="77"/>
  <c r="D20" i="77"/>
  <c r="I17" i="77"/>
  <c r="I16" i="77"/>
  <c r="I15" i="77"/>
  <c r="I14" i="77"/>
  <c r="I13" i="77"/>
  <c r="I12" i="77"/>
  <c r="I11" i="77"/>
  <c r="I10" i="77"/>
  <c r="I9" i="77"/>
  <c r="I8" i="77"/>
  <c r="I7" i="77"/>
  <c r="I6" i="77"/>
  <c r="H23" i="76"/>
  <c r="B20" i="76" s="1"/>
  <c r="F20" i="76"/>
  <c r="D20" i="76"/>
  <c r="I17" i="76"/>
  <c r="I16" i="76"/>
  <c r="I15" i="76"/>
  <c r="I14" i="76"/>
  <c r="I13" i="76"/>
  <c r="I12" i="76"/>
  <c r="I11" i="76"/>
  <c r="I10" i="76"/>
  <c r="I9" i="76"/>
  <c r="I8" i="76"/>
  <c r="I7" i="76"/>
  <c r="I6" i="76"/>
  <c r="H23" i="75"/>
  <c r="B20" i="75" s="1"/>
  <c r="F20" i="75"/>
  <c r="D20" i="75"/>
  <c r="I17" i="75"/>
  <c r="I16" i="75"/>
  <c r="I15" i="75"/>
  <c r="I14" i="75"/>
  <c r="I13" i="75"/>
  <c r="I12" i="75"/>
  <c r="I11" i="75"/>
  <c r="I10" i="75"/>
  <c r="I9" i="75"/>
  <c r="I8" i="75"/>
  <c r="I7" i="75"/>
  <c r="I6" i="75"/>
  <c r="H23" i="74"/>
  <c r="B20" i="74" s="1"/>
  <c r="F20" i="74"/>
  <c r="D20" i="74"/>
  <c r="I17" i="74"/>
  <c r="I16" i="74"/>
  <c r="I15" i="74"/>
  <c r="I14" i="74"/>
  <c r="I13" i="74"/>
  <c r="I12" i="74"/>
  <c r="I11" i="74"/>
  <c r="I10" i="74"/>
  <c r="I9" i="74"/>
  <c r="I8" i="74"/>
  <c r="I7" i="74"/>
  <c r="I6" i="74"/>
  <c r="H23" i="73"/>
  <c r="B20" i="73" s="1"/>
  <c r="F20" i="73"/>
  <c r="D20" i="73"/>
  <c r="I17" i="73"/>
  <c r="I16" i="73"/>
  <c r="I15" i="73"/>
  <c r="I14" i="73"/>
  <c r="I13" i="73"/>
  <c r="I12" i="73"/>
  <c r="I11" i="73"/>
  <c r="I10" i="73"/>
  <c r="I9" i="73"/>
  <c r="I8" i="73"/>
  <c r="I7" i="73"/>
  <c r="I6" i="73"/>
  <c r="H23" i="72"/>
  <c r="B20" i="72" s="1"/>
  <c r="F20" i="72"/>
  <c r="D20" i="72"/>
  <c r="I17" i="72"/>
  <c r="I16" i="72"/>
  <c r="I15" i="72"/>
  <c r="I14" i="72"/>
  <c r="I13" i="72"/>
  <c r="I12" i="72"/>
  <c r="I11" i="72"/>
  <c r="I10" i="72"/>
  <c r="I9" i="72"/>
  <c r="I8" i="72"/>
  <c r="I7" i="72"/>
  <c r="I6" i="72"/>
  <c r="H23" i="71"/>
  <c r="B20" i="71" s="1"/>
  <c r="F20" i="71"/>
  <c r="D20" i="71"/>
  <c r="I17" i="71"/>
  <c r="I16" i="71"/>
  <c r="I15" i="71"/>
  <c r="I14" i="71"/>
  <c r="I13" i="71"/>
  <c r="I12" i="71"/>
  <c r="I11" i="71"/>
  <c r="I10" i="71"/>
  <c r="I9" i="71"/>
  <c r="I8" i="71"/>
  <c r="I7" i="71"/>
  <c r="I6" i="71"/>
  <c r="H23" i="70"/>
  <c r="B20" i="70" s="1"/>
  <c r="F20" i="70"/>
  <c r="D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H23" i="69"/>
  <c r="B20" i="69" s="1"/>
  <c r="F20" i="69"/>
  <c r="D20" i="69"/>
  <c r="I17" i="69"/>
  <c r="I16" i="69"/>
  <c r="I15" i="69"/>
  <c r="I14" i="69"/>
  <c r="I13" i="69"/>
  <c r="I12" i="69"/>
  <c r="I11" i="69"/>
  <c r="I10" i="69"/>
  <c r="I9" i="69"/>
  <c r="I8" i="69"/>
  <c r="I7" i="69"/>
  <c r="I6" i="69"/>
  <c r="H23" i="68"/>
  <c r="F20" i="68"/>
  <c r="D20" i="68"/>
  <c r="I17" i="68"/>
  <c r="I16" i="68"/>
  <c r="I15" i="68"/>
  <c r="I14" i="68"/>
  <c r="I13" i="68"/>
  <c r="I12" i="68"/>
  <c r="I11" i="68"/>
  <c r="I10" i="68"/>
  <c r="I9" i="68"/>
  <c r="I8" i="68"/>
  <c r="I7" i="68"/>
  <c r="I6" i="68"/>
  <c r="H23" i="67"/>
  <c r="B20" i="67" s="1"/>
  <c r="F20" i="67"/>
  <c r="D20" i="67"/>
  <c r="I17" i="67"/>
  <c r="I16" i="67"/>
  <c r="I15" i="67"/>
  <c r="I14" i="67"/>
  <c r="I13" i="67"/>
  <c r="I12" i="67"/>
  <c r="I11" i="67"/>
  <c r="I10" i="67"/>
  <c r="I9" i="67"/>
  <c r="I8" i="67"/>
  <c r="I7" i="67"/>
  <c r="H23" i="66"/>
  <c r="B20" i="66" s="1"/>
  <c r="F20" i="66"/>
  <c r="D20" i="66"/>
  <c r="I17" i="66"/>
  <c r="I16" i="66"/>
  <c r="I15" i="66"/>
  <c r="I14" i="66"/>
  <c r="I13" i="66"/>
  <c r="I12" i="66"/>
  <c r="I11" i="66"/>
  <c r="I10" i="66"/>
  <c r="I9" i="66"/>
  <c r="I8" i="66"/>
  <c r="I7" i="66"/>
  <c r="I6" i="66"/>
  <c r="H23" i="65"/>
  <c r="F20" i="65"/>
  <c r="D20" i="65"/>
  <c r="I17" i="65"/>
  <c r="I16" i="65"/>
  <c r="I15" i="65"/>
  <c r="I14" i="65"/>
  <c r="I13" i="65"/>
  <c r="I12" i="65"/>
  <c r="I11" i="65"/>
  <c r="I10" i="65"/>
  <c r="I9" i="65"/>
  <c r="I8" i="65"/>
  <c r="I7" i="65"/>
  <c r="H23" i="64"/>
  <c r="F20" i="64"/>
  <c r="D20" i="64"/>
  <c r="I17" i="64"/>
  <c r="I16" i="64"/>
  <c r="I15" i="64"/>
  <c r="I14" i="64"/>
  <c r="I13" i="64"/>
  <c r="I12" i="64"/>
  <c r="I11" i="64"/>
  <c r="I10" i="64"/>
  <c r="I9" i="64"/>
  <c r="I8" i="64"/>
  <c r="I7" i="64"/>
  <c r="H23" i="63"/>
  <c r="B20" i="63" s="1"/>
  <c r="F20" i="63"/>
  <c r="D20" i="63"/>
  <c r="I17" i="63"/>
  <c r="I16" i="63"/>
  <c r="I15" i="63"/>
  <c r="I14" i="63"/>
  <c r="I13" i="63"/>
  <c r="I12" i="63"/>
  <c r="I11" i="63"/>
  <c r="I10" i="63"/>
  <c r="I9" i="63"/>
  <c r="I8" i="63"/>
  <c r="I7" i="63"/>
  <c r="H23" i="62"/>
  <c r="B20" i="62" s="1"/>
  <c r="C20" i="62" s="1"/>
  <c r="I5" i="62" s="1"/>
  <c r="F20" i="62"/>
  <c r="D20" i="62"/>
  <c r="I17" i="62"/>
  <c r="I16" i="62"/>
  <c r="I15" i="62"/>
  <c r="I14" i="62"/>
  <c r="I13" i="62"/>
  <c r="I12" i="62"/>
  <c r="I11" i="62"/>
  <c r="I10" i="62"/>
  <c r="I9" i="62"/>
  <c r="I8" i="62"/>
  <c r="I7" i="62"/>
  <c r="H23" i="61"/>
  <c r="B20" i="61" s="1"/>
  <c r="F20" i="61"/>
  <c r="D20" i="61"/>
  <c r="I17" i="61"/>
  <c r="I16" i="61"/>
  <c r="I15" i="61"/>
  <c r="I14" i="61"/>
  <c r="I13" i="61"/>
  <c r="I12" i="61"/>
  <c r="I11" i="61"/>
  <c r="I10" i="61"/>
  <c r="I9" i="61"/>
  <c r="I8" i="61"/>
  <c r="I7" i="61"/>
  <c r="H23" i="60"/>
  <c r="F20" i="60"/>
  <c r="D20" i="60"/>
  <c r="I17" i="60"/>
  <c r="I16" i="60"/>
  <c r="I15" i="60"/>
  <c r="I14" i="60"/>
  <c r="I13" i="60"/>
  <c r="I12" i="60"/>
  <c r="I11" i="60"/>
  <c r="I10" i="60"/>
  <c r="I9" i="60"/>
  <c r="I8" i="60"/>
  <c r="I7" i="60"/>
  <c r="H23" i="59"/>
  <c r="B20" i="59" s="1"/>
  <c r="F20" i="59"/>
  <c r="D20" i="59"/>
  <c r="I17" i="59"/>
  <c r="I16" i="59"/>
  <c r="I15" i="59"/>
  <c r="I14" i="59"/>
  <c r="I13" i="59"/>
  <c r="I12" i="59"/>
  <c r="I11" i="59"/>
  <c r="I10" i="59"/>
  <c r="I9" i="59"/>
  <c r="I8" i="59"/>
  <c r="I7" i="59"/>
  <c r="H23" i="58"/>
  <c r="B20" i="58" s="1"/>
  <c r="F20" i="58"/>
  <c r="D20" i="58"/>
  <c r="I17" i="58"/>
  <c r="I16" i="58"/>
  <c r="I15" i="58"/>
  <c r="I14" i="58"/>
  <c r="I13" i="58"/>
  <c r="I12" i="58"/>
  <c r="I11" i="58"/>
  <c r="I10" i="58"/>
  <c r="I9" i="58"/>
  <c r="I8" i="58"/>
  <c r="H23" i="57"/>
  <c r="B20" i="57" s="1"/>
  <c r="F20" i="57"/>
  <c r="D20" i="57"/>
  <c r="I17" i="57"/>
  <c r="I16" i="57"/>
  <c r="I15" i="57"/>
  <c r="I14" i="57"/>
  <c r="I13" i="57"/>
  <c r="I12" i="57"/>
  <c r="I11" i="57"/>
  <c r="I10" i="57"/>
  <c r="I9" i="57"/>
  <c r="I8" i="57"/>
  <c r="I7" i="57"/>
  <c r="H23" i="56"/>
  <c r="B20" i="56" s="1"/>
  <c r="F20" i="56"/>
  <c r="D20" i="56"/>
  <c r="I17" i="56"/>
  <c r="I16" i="56"/>
  <c r="I15" i="56"/>
  <c r="I14" i="56"/>
  <c r="I13" i="56"/>
  <c r="I12" i="56"/>
  <c r="I11" i="56"/>
  <c r="I10" i="56"/>
  <c r="I9" i="56"/>
  <c r="I8" i="56"/>
  <c r="I7" i="56"/>
  <c r="H23" i="55"/>
  <c r="B20" i="55" s="1"/>
  <c r="F20" i="55"/>
  <c r="D20" i="55"/>
  <c r="I17" i="55"/>
  <c r="I16" i="55"/>
  <c r="I15" i="55"/>
  <c r="I14" i="55"/>
  <c r="I13" i="55"/>
  <c r="I12" i="55"/>
  <c r="I11" i="55"/>
  <c r="I10" i="55"/>
  <c r="I9" i="55"/>
  <c r="I8" i="55"/>
  <c r="H23" i="54"/>
  <c r="B20" i="54" s="1"/>
  <c r="F20" i="54"/>
  <c r="D20" i="54"/>
  <c r="I17" i="54"/>
  <c r="I16" i="54"/>
  <c r="I15" i="54"/>
  <c r="I14" i="54"/>
  <c r="I13" i="54"/>
  <c r="I12" i="54"/>
  <c r="I11" i="54"/>
  <c r="I10" i="54"/>
  <c r="I9" i="54"/>
  <c r="I8" i="54"/>
  <c r="H23" i="53"/>
  <c r="B20" i="53" s="1"/>
  <c r="F20" i="53"/>
  <c r="D20" i="53"/>
  <c r="I17" i="53"/>
  <c r="I16" i="53"/>
  <c r="I15" i="53"/>
  <c r="I14" i="53"/>
  <c r="I13" i="53"/>
  <c r="I12" i="53"/>
  <c r="I11" i="53"/>
  <c r="I10" i="53"/>
  <c r="I9" i="53"/>
  <c r="I8" i="53"/>
  <c r="I7" i="53"/>
  <c r="H23" i="52"/>
  <c r="B20" i="52" s="1"/>
  <c r="F20" i="52"/>
  <c r="D20" i="52"/>
  <c r="I17" i="52"/>
  <c r="I16" i="52"/>
  <c r="I15" i="52"/>
  <c r="I14" i="52"/>
  <c r="I13" i="52"/>
  <c r="I12" i="52"/>
  <c r="I11" i="52"/>
  <c r="I10" i="52"/>
  <c r="I9" i="52"/>
  <c r="I8" i="52"/>
  <c r="I7" i="52"/>
  <c r="H23" i="51"/>
  <c r="F20" i="51"/>
  <c r="D20" i="51"/>
  <c r="I17" i="51"/>
  <c r="I16" i="51"/>
  <c r="I15" i="51"/>
  <c r="I14" i="51"/>
  <c r="I13" i="51"/>
  <c r="I12" i="51"/>
  <c r="I11" i="51"/>
  <c r="I10" i="51"/>
  <c r="I9" i="51"/>
  <c r="I8" i="51"/>
  <c r="I7" i="51"/>
  <c r="H23" i="50"/>
  <c r="F20" i="50"/>
  <c r="D20" i="50"/>
  <c r="I17" i="50"/>
  <c r="I16" i="50"/>
  <c r="I15" i="50"/>
  <c r="I14" i="50"/>
  <c r="I13" i="50"/>
  <c r="I12" i="50"/>
  <c r="I11" i="50"/>
  <c r="I10" i="50"/>
  <c r="I9" i="50"/>
  <c r="I8" i="50"/>
  <c r="I7" i="50"/>
  <c r="H23" i="49"/>
  <c r="F20" i="49"/>
  <c r="D20" i="49"/>
  <c r="I17" i="49"/>
  <c r="I16" i="49"/>
  <c r="I15" i="49"/>
  <c r="I14" i="49"/>
  <c r="I13" i="49"/>
  <c r="I12" i="49"/>
  <c r="I11" i="49"/>
  <c r="I10" i="49"/>
  <c r="I9" i="49"/>
  <c r="I8" i="49"/>
  <c r="I7" i="49"/>
  <c r="H23" i="48"/>
  <c r="F20" i="48"/>
  <c r="D20" i="48"/>
  <c r="I17" i="48"/>
  <c r="I16" i="48"/>
  <c r="I15" i="48"/>
  <c r="I14" i="48"/>
  <c r="I13" i="48"/>
  <c r="I12" i="48"/>
  <c r="I11" i="48"/>
  <c r="I10" i="48"/>
  <c r="I9" i="48"/>
  <c r="I8" i="48"/>
  <c r="I7" i="48"/>
  <c r="H23" i="47"/>
  <c r="B20" i="47" s="1"/>
  <c r="F20" i="47"/>
  <c r="D20" i="47"/>
  <c r="I17" i="47"/>
  <c r="I16" i="47"/>
  <c r="I15" i="47"/>
  <c r="I14" i="47"/>
  <c r="I13" i="47"/>
  <c r="I12" i="47"/>
  <c r="I11" i="47"/>
  <c r="I10" i="47"/>
  <c r="I9" i="47"/>
  <c r="I8" i="47"/>
  <c r="I7" i="47"/>
  <c r="H23" i="46"/>
  <c r="B20" i="46" s="1"/>
  <c r="F20" i="46"/>
  <c r="D20" i="46"/>
  <c r="I17" i="46"/>
  <c r="I16" i="46"/>
  <c r="I15" i="46"/>
  <c r="I14" i="46"/>
  <c r="I13" i="46"/>
  <c r="I12" i="46"/>
  <c r="I11" i="46"/>
  <c r="I10" i="46"/>
  <c r="I9" i="46"/>
  <c r="I8" i="46"/>
  <c r="I7" i="46"/>
  <c r="H23" i="45"/>
  <c r="B20" i="45" s="1"/>
  <c r="F20" i="45"/>
  <c r="D20" i="45"/>
  <c r="I17" i="45"/>
  <c r="I16" i="45"/>
  <c r="I15" i="45"/>
  <c r="I14" i="45"/>
  <c r="I13" i="45"/>
  <c r="I12" i="45"/>
  <c r="I11" i="45"/>
  <c r="I10" i="45"/>
  <c r="I9" i="45"/>
  <c r="I8" i="45"/>
  <c r="I7" i="45"/>
  <c r="H23" i="44"/>
  <c r="B20" i="44" s="1"/>
  <c r="F20" i="44"/>
  <c r="D20" i="44"/>
  <c r="I17" i="44"/>
  <c r="I16" i="44"/>
  <c r="I15" i="44"/>
  <c r="I14" i="44"/>
  <c r="I13" i="44"/>
  <c r="I12" i="44"/>
  <c r="I11" i="44"/>
  <c r="I10" i="44"/>
  <c r="I9" i="44"/>
  <c r="I8" i="44"/>
  <c r="H23" i="43"/>
  <c r="B20" i="43" s="1"/>
  <c r="F20" i="43"/>
  <c r="D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H23" i="42"/>
  <c r="B20" i="42" s="1"/>
  <c r="F20" i="42"/>
  <c r="D20" i="42"/>
  <c r="I17" i="42"/>
  <c r="I16" i="42"/>
  <c r="I15" i="42"/>
  <c r="I14" i="42"/>
  <c r="I13" i="42"/>
  <c r="I12" i="42"/>
  <c r="I11" i="42"/>
  <c r="I10" i="42"/>
  <c r="I9" i="42"/>
  <c r="I8" i="42"/>
  <c r="I7" i="42"/>
  <c r="I6" i="42"/>
  <c r="H23" i="41"/>
  <c r="B20" i="41" s="1"/>
  <c r="F20" i="41"/>
  <c r="D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H23" i="40"/>
  <c r="B20" i="40" s="1"/>
  <c r="F20" i="40"/>
  <c r="D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H23" i="39"/>
  <c r="B20" i="39" s="1"/>
  <c r="F20" i="39"/>
  <c r="D20" i="39"/>
  <c r="I17" i="39"/>
  <c r="I16" i="39"/>
  <c r="I15" i="39"/>
  <c r="I14" i="39"/>
  <c r="I13" i="39"/>
  <c r="I12" i="39"/>
  <c r="I11" i="39"/>
  <c r="I10" i="39"/>
  <c r="I9" i="39"/>
  <c r="I8" i="39"/>
  <c r="I7" i="39"/>
  <c r="I6" i="39"/>
  <c r="H23" i="38"/>
  <c r="B20" i="38" s="1"/>
  <c r="F20" i="38"/>
  <c r="D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H23" i="37"/>
  <c r="B20" i="37" s="1"/>
  <c r="F20" i="37"/>
  <c r="D20" i="37"/>
  <c r="I17" i="37"/>
  <c r="I16" i="37"/>
  <c r="I15" i="37"/>
  <c r="I14" i="37"/>
  <c r="I13" i="37"/>
  <c r="I12" i="37"/>
  <c r="I11" i="37"/>
  <c r="I10" i="37"/>
  <c r="I9" i="37"/>
  <c r="I8" i="37"/>
  <c r="I7" i="37"/>
  <c r="I6" i="37"/>
  <c r="H23" i="36"/>
  <c r="B20" i="36" s="1"/>
  <c r="F20" i="36"/>
  <c r="D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H23" i="35"/>
  <c r="B20" i="35" s="1"/>
  <c r="F20" i="35"/>
  <c r="D20" i="35"/>
  <c r="I17" i="35"/>
  <c r="I16" i="35"/>
  <c r="I15" i="35"/>
  <c r="I14" i="35"/>
  <c r="I13" i="35"/>
  <c r="I12" i="35"/>
  <c r="I11" i="35"/>
  <c r="I10" i="35"/>
  <c r="I9" i="35"/>
  <c r="I8" i="35"/>
  <c r="I7" i="35"/>
  <c r="I6" i="35"/>
  <c r="H23" i="34"/>
  <c r="B20" i="34" s="1"/>
  <c r="F20" i="34"/>
  <c r="D20" i="34"/>
  <c r="I17" i="34"/>
  <c r="I16" i="34"/>
  <c r="I15" i="34"/>
  <c r="I14" i="34"/>
  <c r="I13" i="34"/>
  <c r="I12" i="34"/>
  <c r="I11" i="34"/>
  <c r="I10" i="34"/>
  <c r="I9" i="34"/>
  <c r="I8" i="34"/>
  <c r="I7" i="34"/>
  <c r="I6" i="34"/>
  <c r="H23" i="33"/>
  <c r="B20" i="33" s="1"/>
  <c r="F20" i="33"/>
  <c r="D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H23" i="32"/>
  <c r="B20" i="32" s="1"/>
  <c r="C20" i="32" s="1"/>
  <c r="I5" i="32" s="1"/>
  <c r="F20" i="32"/>
  <c r="D20" i="32"/>
  <c r="I17" i="32"/>
  <c r="I16" i="32"/>
  <c r="I15" i="32"/>
  <c r="I14" i="32"/>
  <c r="I13" i="32"/>
  <c r="I12" i="32"/>
  <c r="I11" i="32"/>
  <c r="I10" i="32"/>
  <c r="I9" i="32"/>
  <c r="I8" i="32"/>
  <c r="I7" i="32"/>
  <c r="I6" i="32"/>
  <c r="H23" i="31"/>
  <c r="B20" i="31" s="1"/>
  <c r="F20" i="31"/>
  <c r="D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H23" i="30"/>
  <c r="F20" i="30"/>
  <c r="D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H23" i="29"/>
  <c r="B20" i="29" s="1"/>
  <c r="C20" i="29" s="1"/>
  <c r="I5" i="29" s="1"/>
  <c r="F20" i="29"/>
  <c r="D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H23" i="28"/>
  <c r="F20" i="28"/>
  <c r="D20" i="28"/>
  <c r="I17" i="28"/>
  <c r="I16" i="28"/>
  <c r="I15" i="28"/>
  <c r="I14" i="28"/>
  <c r="I13" i="28"/>
  <c r="I12" i="28"/>
  <c r="I11" i="28"/>
  <c r="I10" i="28"/>
  <c r="I9" i="28"/>
  <c r="I8" i="28"/>
  <c r="I7" i="28"/>
  <c r="H23" i="27"/>
  <c r="F20" i="27"/>
  <c r="D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H23" i="26"/>
  <c r="F20" i="26"/>
  <c r="D20" i="26"/>
  <c r="I17" i="26"/>
  <c r="I16" i="26"/>
  <c r="I15" i="26"/>
  <c r="I14" i="26"/>
  <c r="I13" i="26"/>
  <c r="I12" i="26"/>
  <c r="I11" i="26"/>
  <c r="I10" i="26"/>
  <c r="I9" i="26"/>
  <c r="I8" i="26"/>
  <c r="I7" i="26"/>
  <c r="I6" i="26"/>
  <c r="H23" i="25"/>
  <c r="F20" i="25"/>
  <c r="D20" i="25"/>
  <c r="I17" i="25"/>
  <c r="I16" i="25"/>
  <c r="I15" i="25"/>
  <c r="I14" i="25"/>
  <c r="I13" i="25"/>
  <c r="I12" i="25"/>
  <c r="I11" i="25"/>
  <c r="I10" i="25"/>
  <c r="I9" i="25"/>
  <c r="I8" i="25"/>
  <c r="I7" i="25"/>
  <c r="I6" i="25"/>
  <c r="H23" i="24"/>
  <c r="B20" i="24" s="1"/>
  <c r="F20" i="24"/>
  <c r="D20" i="24"/>
  <c r="I17" i="24"/>
  <c r="I16" i="24"/>
  <c r="I15" i="24"/>
  <c r="I14" i="24"/>
  <c r="I13" i="24"/>
  <c r="I12" i="24"/>
  <c r="I11" i="24"/>
  <c r="I10" i="24"/>
  <c r="I9" i="24"/>
  <c r="I8" i="24"/>
  <c r="I7" i="24"/>
  <c r="I6" i="24"/>
  <c r="H23" i="23"/>
  <c r="B20" i="23" s="1"/>
  <c r="F20" i="23"/>
  <c r="D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H23" i="22"/>
  <c r="B20" i="22" s="1"/>
  <c r="F20" i="22"/>
  <c r="D20" i="22"/>
  <c r="I17" i="22"/>
  <c r="I16" i="22"/>
  <c r="I15" i="22"/>
  <c r="I14" i="22"/>
  <c r="I13" i="22"/>
  <c r="I12" i="22"/>
  <c r="I11" i="22"/>
  <c r="I10" i="22"/>
  <c r="I9" i="22"/>
  <c r="I8" i="22"/>
  <c r="I7" i="22"/>
  <c r="I6" i="22"/>
  <c r="H23" i="21"/>
  <c r="B20" i="21" s="1"/>
  <c r="F20" i="21"/>
  <c r="D20" i="21"/>
  <c r="I17" i="21"/>
  <c r="I16" i="21"/>
  <c r="I15" i="21"/>
  <c r="I14" i="21"/>
  <c r="I13" i="21"/>
  <c r="I12" i="21"/>
  <c r="I11" i="21"/>
  <c r="I10" i="21"/>
  <c r="I9" i="21"/>
  <c r="I8" i="21"/>
  <c r="I7" i="21"/>
  <c r="I6" i="21"/>
  <c r="H23" i="20"/>
  <c r="F20" i="20"/>
  <c r="D20" i="20"/>
  <c r="I17" i="20"/>
  <c r="I16" i="20"/>
  <c r="I15" i="20"/>
  <c r="I14" i="20"/>
  <c r="I13" i="20"/>
  <c r="I12" i="20"/>
  <c r="I11" i="20"/>
  <c r="I10" i="20"/>
  <c r="I9" i="20"/>
  <c r="I8" i="20"/>
  <c r="I7" i="20"/>
  <c r="I6" i="20"/>
  <c r="H23" i="19"/>
  <c r="B20" i="19" s="1"/>
  <c r="F20" i="19"/>
  <c r="D20" i="19"/>
  <c r="I17" i="19"/>
  <c r="I16" i="19"/>
  <c r="I15" i="19"/>
  <c r="I14" i="19"/>
  <c r="I13" i="19"/>
  <c r="I12" i="19"/>
  <c r="I11" i="19"/>
  <c r="I10" i="19"/>
  <c r="I9" i="19"/>
  <c r="I8" i="19"/>
  <c r="I7" i="19"/>
  <c r="I6" i="19"/>
  <c r="H23" i="18"/>
  <c r="B20" i="18" s="1"/>
  <c r="C20" i="18" s="1"/>
  <c r="I5" i="18" s="1"/>
  <c r="F20" i="18"/>
  <c r="D20" i="18"/>
  <c r="I17" i="18"/>
  <c r="I16" i="18"/>
  <c r="I15" i="18"/>
  <c r="I14" i="18"/>
  <c r="I13" i="18"/>
  <c r="I12" i="18"/>
  <c r="I11" i="18"/>
  <c r="I10" i="18"/>
  <c r="I9" i="18"/>
  <c r="I8" i="18"/>
  <c r="I7" i="18"/>
  <c r="I6" i="18"/>
  <c r="H23" i="17"/>
  <c r="F20" i="17"/>
  <c r="D20" i="17"/>
  <c r="I17" i="17"/>
  <c r="I16" i="17"/>
  <c r="I15" i="17"/>
  <c r="I14" i="17"/>
  <c r="I13" i="17"/>
  <c r="I12" i="17"/>
  <c r="I11" i="17"/>
  <c r="I10" i="17"/>
  <c r="I9" i="17"/>
  <c r="I8" i="17"/>
  <c r="I7" i="17"/>
  <c r="I6" i="17"/>
  <c r="H23" i="16"/>
  <c r="F20" i="16"/>
  <c r="D20" i="16"/>
  <c r="I17" i="16"/>
  <c r="I16" i="16"/>
  <c r="I15" i="16"/>
  <c r="I14" i="16"/>
  <c r="I13" i="16"/>
  <c r="I12" i="16"/>
  <c r="I11" i="16"/>
  <c r="I10" i="16"/>
  <c r="I9" i="16"/>
  <c r="I8" i="16"/>
  <c r="I7" i="16"/>
  <c r="I6" i="16"/>
  <c r="H23" i="15"/>
  <c r="B20" i="15" s="1"/>
  <c r="F20" i="15"/>
  <c r="D20" i="15"/>
  <c r="I17" i="15"/>
  <c r="I16" i="15"/>
  <c r="I15" i="15"/>
  <c r="I14" i="15"/>
  <c r="I13" i="15"/>
  <c r="I12" i="15"/>
  <c r="I11" i="15"/>
  <c r="I10" i="15"/>
  <c r="I9" i="15"/>
  <c r="I8" i="15"/>
  <c r="I7" i="15"/>
  <c r="I6" i="15"/>
  <c r="C20" i="39" l="1"/>
  <c r="I5" i="39" s="1"/>
  <c r="C20" i="84"/>
  <c r="I5" i="84" s="1"/>
  <c r="C20" i="91"/>
  <c r="I5" i="91" s="1"/>
  <c r="C20" i="19"/>
  <c r="I5" i="19" s="1"/>
  <c r="C20" i="70"/>
  <c r="I5" i="70" s="1"/>
  <c r="C20" i="82"/>
  <c r="I5" i="82" s="1"/>
  <c r="C20" i="23"/>
  <c r="I5" i="23" s="1"/>
  <c r="C20" i="38"/>
  <c r="I5" i="38" s="1"/>
  <c r="C20" i="67"/>
  <c r="C20" i="87"/>
  <c r="I3" i="87" s="1"/>
  <c r="C20" i="47"/>
  <c r="I5" i="47" s="1"/>
  <c r="I6" i="62"/>
  <c r="I6" i="47"/>
  <c r="C20" i="63"/>
  <c r="I4" i="63" s="1"/>
  <c r="C20" i="33"/>
  <c r="I5" i="33" s="1"/>
  <c r="I5" i="67"/>
  <c r="C20" i="66"/>
  <c r="B20" i="83"/>
  <c r="C20" i="83" s="1"/>
  <c r="I5" i="83" s="1"/>
  <c r="C20" i="95"/>
  <c r="C20" i="78"/>
  <c r="B20" i="16"/>
  <c r="C20" i="16" s="1"/>
  <c r="I5" i="16" s="1"/>
  <c r="B20" i="17"/>
  <c r="C20" i="17" s="1"/>
  <c r="I5" i="17" s="1"/>
  <c r="C20" i="31"/>
  <c r="C20" i="34"/>
  <c r="I5" i="34" s="1"/>
  <c r="C20" i="35"/>
  <c r="C20" i="36"/>
  <c r="C20" i="37"/>
  <c r="C20" i="40"/>
  <c r="I5" i="40" s="1"/>
  <c r="C20" i="41"/>
  <c r="C20" i="42"/>
  <c r="I5" i="42" s="1"/>
  <c r="C20" i="43"/>
  <c r="C20" i="44"/>
  <c r="C20" i="45"/>
  <c r="I6" i="45" s="1"/>
  <c r="C20" i="46"/>
  <c r="I6" i="46" s="1"/>
  <c r="C20" i="53"/>
  <c r="C20" i="54"/>
  <c r="C20" i="57"/>
  <c r="C20" i="72"/>
  <c r="C20" i="73"/>
  <c r="C20" i="52"/>
  <c r="C20" i="55"/>
  <c r="C20" i="56"/>
  <c r="C20" i="58"/>
  <c r="I5" i="58" s="1"/>
  <c r="C20" i="59"/>
  <c r="C20" i="69"/>
  <c r="C20" i="74"/>
  <c r="C20" i="86"/>
  <c r="C20" i="90"/>
  <c r="C20" i="21"/>
  <c r="C20" i="22"/>
  <c r="C20" i="24"/>
  <c r="B20" i="26"/>
  <c r="C20" i="26" s="1"/>
  <c r="I5" i="26" s="1"/>
  <c r="B20" i="27"/>
  <c r="C20" i="27" s="1"/>
  <c r="I5" i="27" s="1"/>
  <c r="B20" i="28"/>
  <c r="C20" i="28" s="1"/>
  <c r="B20" i="50"/>
  <c r="C20" i="50" s="1"/>
  <c r="C20" i="61"/>
  <c r="I6" i="61" s="1"/>
  <c r="B20" i="65"/>
  <c r="C20" i="65" s="1"/>
  <c r="C20" i="76"/>
  <c r="C20" i="77"/>
  <c r="C20" i="79"/>
  <c r="B20" i="81"/>
  <c r="C20" i="81" s="1"/>
  <c r="I5" i="81" s="1"/>
  <c r="C20" i="92"/>
  <c r="B20" i="94"/>
  <c r="C20" i="94" s="1"/>
  <c r="I5" i="94" s="1"/>
  <c r="I4" i="62"/>
  <c r="I3" i="62"/>
  <c r="I3" i="63"/>
  <c r="I4" i="91"/>
  <c r="I3" i="91"/>
  <c r="B20" i="51"/>
  <c r="C20" i="51" s="1"/>
  <c r="I4" i="69"/>
  <c r="I4" i="70"/>
  <c r="I3" i="70"/>
  <c r="I3" i="66"/>
  <c r="I4" i="67"/>
  <c r="I3" i="67"/>
  <c r="I4" i="77"/>
  <c r="I4" i="82"/>
  <c r="I3" i="82"/>
  <c r="I3" i="84"/>
  <c r="I4" i="84"/>
  <c r="E20" i="84" s="1"/>
  <c r="D22" i="84" s="1"/>
  <c r="C20" i="71"/>
  <c r="I5" i="71" s="1"/>
  <c r="C20" i="75"/>
  <c r="I5" i="75" s="1"/>
  <c r="B20" i="85"/>
  <c r="C20" i="85" s="1"/>
  <c r="I5" i="85" s="1"/>
  <c r="I4" i="87"/>
  <c r="E20" i="87" s="1"/>
  <c r="D22" i="87" s="1"/>
  <c r="B20" i="89"/>
  <c r="C20" i="89" s="1"/>
  <c r="I5" i="89" s="1"/>
  <c r="B20" i="93"/>
  <c r="C20" i="93" s="1"/>
  <c r="I5" i="93" s="1"/>
  <c r="B20" i="60"/>
  <c r="C20" i="60" s="1"/>
  <c r="B20" i="64"/>
  <c r="C20" i="64" s="1"/>
  <c r="B20" i="68"/>
  <c r="C20" i="68" s="1"/>
  <c r="I5" i="68" s="1"/>
  <c r="B20" i="80"/>
  <c r="C20" i="80" s="1"/>
  <c r="I5" i="80" s="1"/>
  <c r="B20" i="88"/>
  <c r="C20" i="88" s="1"/>
  <c r="I5" i="88" s="1"/>
  <c r="B20" i="96"/>
  <c r="C20" i="96" s="1"/>
  <c r="I5" i="96" s="1"/>
  <c r="I4" i="35"/>
  <c r="I4" i="40"/>
  <c r="I3" i="32"/>
  <c r="I4" i="32"/>
  <c r="I3" i="33"/>
  <c r="I4" i="38"/>
  <c r="I3" i="38"/>
  <c r="I4" i="39"/>
  <c r="I3" i="39"/>
  <c r="I4" i="47"/>
  <c r="I3" i="47"/>
  <c r="I3" i="42"/>
  <c r="I4" i="29"/>
  <c r="I3" i="29"/>
  <c r="B20" i="30"/>
  <c r="C20" i="30" s="1"/>
  <c r="I5" i="30" s="1"/>
  <c r="B20" i="49"/>
  <c r="C20" i="49" s="1"/>
  <c r="B20" i="48"/>
  <c r="C20" i="48" s="1"/>
  <c r="I4" i="23"/>
  <c r="I3" i="23"/>
  <c r="I4" i="18"/>
  <c r="I3" i="18"/>
  <c r="I4" i="19"/>
  <c r="I3" i="19"/>
  <c r="C20" i="15"/>
  <c r="I5" i="15" s="1"/>
  <c r="B20" i="25"/>
  <c r="C20" i="25" s="1"/>
  <c r="I5" i="25" s="1"/>
  <c r="B20" i="20"/>
  <c r="C20" i="20" s="1"/>
  <c r="I5" i="20" s="1"/>
  <c r="D5" i="3"/>
  <c r="C5" i="3"/>
  <c r="B5" i="3"/>
  <c r="H23" i="14"/>
  <c r="B20" i="14" s="1"/>
  <c r="F20" i="14"/>
  <c r="D20" i="14"/>
  <c r="I17" i="14"/>
  <c r="I16" i="14"/>
  <c r="I15" i="14"/>
  <c r="I14" i="14"/>
  <c r="I13" i="14"/>
  <c r="I12" i="14"/>
  <c r="I11" i="14"/>
  <c r="I10" i="14"/>
  <c r="I9" i="14"/>
  <c r="I8" i="14"/>
  <c r="H23" i="13"/>
  <c r="B20" i="13" s="1"/>
  <c r="F20" i="13"/>
  <c r="D20" i="13"/>
  <c r="I17" i="13"/>
  <c r="I16" i="13"/>
  <c r="I15" i="13"/>
  <c r="I14" i="13"/>
  <c r="I13" i="13"/>
  <c r="I12" i="13"/>
  <c r="I11" i="13"/>
  <c r="I10" i="13"/>
  <c r="I9" i="13"/>
  <c r="I8" i="13"/>
  <c r="I7" i="13"/>
  <c r="H23" i="12"/>
  <c r="F20" i="12"/>
  <c r="D20" i="12"/>
  <c r="I17" i="12"/>
  <c r="I16" i="12"/>
  <c r="I15" i="12"/>
  <c r="I14" i="12"/>
  <c r="I13" i="12"/>
  <c r="I12" i="12"/>
  <c r="I11" i="12"/>
  <c r="I10" i="12"/>
  <c r="I9" i="12"/>
  <c r="I8" i="12"/>
  <c r="I7" i="12"/>
  <c r="H23" i="11"/>
  <c r="B20" i="11" s="1"/>
  <c r="F20" i="11"/>
  <c r="D20" i="11"/>
  <c r="I17" i="11"/>
  <c r="I16" i="11"/>
  <c r="I15" i="11"/>
  <c r="I14" i="11"/>
  <c r="I13" i="11"/>
  <c r="I12" i="11"/>
  <c r="I11" i="11"/>
  <c r="I10" i="11"/>
  <c r="I9" i="11"/>
  <c r="I8" i="11"/>
  <c r="I7" i="11"/>
  <c r="H23" i="10"/>
  <c r="B20" i="10" s="1"/>
  <c r="F20" i="10"/>
  <c r="D20" i="10"/>
  <c r="I17" i="10"/>
  <c r="I16" i="10"/>
  <c r="I15" i="10"/>
  <c r="I14" i="10"/>
  <c r="I13" i="10"/>
  <c r="I12" i="10"/>
  <c r="I11" i="10"/>
  <c r="I10" i="10"/>
  <c r="I9" i="10"/>
  <c r="I8" i="10"/>
  <c r="I7" i="10"/>
  <c r="H23" i="9"/>
  <c r="B20" i="9" s="1"/>
  <c r="F20" i="9"/>
  <c r="D20" i="9"/>
  <c r="I17" i="9"/>
  <c r="I16" i="9"/>
  <c r="I15" i="9"/>
  <c r="I14" i="9"/>
  <c r="I13" i="9"/>
  <c r="I12" i="9"/>
  <c r="I11" i="9"/>
  <c r="I10" i="9"/>
  <c r="I9" i="9"/>
  <c r="I8" i="9"/>
  <c r="I7" i="9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I7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I7" i="4"/>
  <c r="H23" i="2"/>
  <c r="B20" i="2" s="1"/>
  <c r="B6" i="3"/>
  <c r="D6" i="3"/>
  <c r="D7" i="3"/>
  <c r="D8" i="3"/>
  <c r="D9" i="3"/>
  <c r="D10" i="3"/>
  <c r="D11" i="3"/>
  <c r="D12" i="3"/>
  <c r="D13" i="3"/>
  <c r="D14" i="3"/>
  <c r="D15" i="3"/>
  <c r="C15" i="3"/>
  <c r="C14" i="3"/>
  <c r="C13" i="3"/>
  <c r="C12" i="3"/>
  <c r="C11" i="3"/>
  <c r="C10" i="3"/>
  <c r="C9" i="3"/>
  <c r="C8" i="3"/>
  <c r="C7" i="3"/>
  <c r="C6" i="3"/>
  <c r="B15" i="3"/>
  <c r="B14" i="3"/>
  <c r="B13" i="3"/>
  <c r="B11" i="3"/>
  <c r="B10" i="3"/>
  <c r="B9" i="3"/>
  <c r="B8" i="3"/>
  <c r="B7" i="3"/>
  <c r="D4" i="3"/>
  <c r="C4" i="3"/>
  <c r="B4" i="3"/>
  <c r="F20" i="2"/>
  <c r="D20" i="2"/>
  <c r="I12" i="2"/>
  <c r="I13" i="2"/>
  <c r="I14" i="2"/>
  <c r="I15" i="2"/>
  <c r="I16" i="2"/>
  <c r="I17" i="2"/>
  <c r="B20" i="12"/>
  <c r="C20" i="12" s="1"/>
  <c r="I5" i="12" s="1"/>
  <c r="I6" i="10"/>
  <c r="I6" i="7"/>
  <c r="I6" i="5"/>
  <c r="I10" i="2"/>
  <c r="I9" i="2"/>
  <c r="I8" i="2"/>
  <c r="I11" i="2"/>
  <c r="I7" i="2"/>
  <c r="I6" i="9"/>
  <c r="I6" i="8"/>
  <c r="I6" i="6"/>
  <c r="I6" i="13"/>
  <c r="I6" i="12"/>
  <c r="I6" i="11"/>
  <c r="I6" i="4"/>
  <c r="I6" i="2"/>
  <c r="E20" i="32" l="1"/>
  <c r="D22" i="32" s="1"/>
  <c r="E20" i="18"/>
  <c r="D22" i="18" s="1"/>
  <c r="E20" i="39"/>
  <c r="D22" i="39" s="1"/>
  <c r="I4" i="92"/>
  <c r="I5" i="92"/>
  <c r="E20" i="91"/>
  <c r="D22" i="91" s="1"/>
  <c r="E104" i="3" s="1"/>
  <c r="F104" i="3" s="1"/>
  <c r="I3" i="90"/>
  <c r="I5" i="90"/>
  <c r="I3" i="86"/>
  <c r="I5" i="86"/>
  <c r="I3" i="79"/>
  <c r="I5" i="79"/>
  <c r="I3" i="78"/>
  <c r="I5" i="78"/>
  <c r="I3" i="77"/>
  <c r="I5" i="77"/>
  <c r="I4" i="76"/>
  <c r="I5" i="76"/>
  <c r="I4" i="74"/>
  <c r="I5" i="74"/>
  <c r="I4" i="73"/>
  <c r="I5" i="73"/>
  <c r="I3" i="72"/>
  <c r="I5" i="72"/>
  <c r="E20" i="70"/>
  <c r="D22" i="70" s="1"/>
  <c r="D23" i="70" s="1"/>
  <c r="I3" i="69"/>
  <c r="I5" i="69"/>
  <c r="I4" i="66"/>
  <c r="I5" i="66"/>
  <c r="I3" i="46"/>
  <c r="I5" i="44"/>
  <c r="I6" i="44"/>
  <c r="I4" i="43"/>
  <c r="I5" i="43"/>
  <c r="I4" i="42"/>
  <c r="E20" i="42" s="1"/>
  <c r="D22" i="42" s="1"/>
  <c r="I4" i="41"/>
  <c r="I5" i="41"/>
  <c r="I3" i="41"/>
  <c r="E20" i="41" s="1"/>
  <c r="D22" i="41" s="1"/>
  <c r="E48" i="3" s="1"/>
  <c r="F48" i="3" s="1"/>
  <c r="I3" i="40"/>
  <c r="E20" i="38"/>
  <c r="D22" i="38" s="1"/>
  <c r="E45" i="3" s="1"/>
  <c r="F45" i="3" s="1"/>
  <c r="I4" i="37"/>
  <c r="I5" i="37"/>
  <c r="I3" i="36"/>
  <c r="I5" i="36"/>
  <c r="I3" i="35"/>
  <c r="I5" i="35"/>
  <c r="I3" i="34"/>
  <c r="E20" i="34" s="1"/>
  <c r="D22" i="34" s="1"/>
  <c r="D23" i="34" s="1"/>
  <c r="I4" i="34"/>
  <c r="I4" i="33"/>
  <c r="E20" i="33" s="1"/>
  <c r="D22" i="33" s="1"/>
  <c r="I4" i="31"/>
  <c r="I5" i="31"/>
  <c r="I4" i="24"/>
  <c r="I5" i="24"/>
  <c r="I3" i="24"/>
  <c r="I3" i="22"/>
  <c r="I5" i="22"/>
  <c r="I4" i="22"/>
  <c r="I4" i="21"/>
  <c r="I5" i="21"/>
  <c r="I5" i="65"/>
  <c r="I5" i="64"/>
  <c r="I5" i="63"/>
  <c r="E20" i="63" s="1"/>
  <c r="D22" i="63" s="1"/>
  <c r="E72" i="3" s="1"/>
  <c r="F72" i="3" s="1"/>
  <c r="I3" i="57"/>
  <c r="I5" i="56"/>
  <c r="I5" i="52"/>
  <c r="I6" i="52"/>
  <c r="I5" i="51"/>
  <c r="I6" i="51"/>
  <c r="I5" i="50"/>
  <c r="I6" i="50"/>
  <c r="I5" i="49"/>
  <c r="I6" i="49"/>
  <c r="I4" i="61"/>
  <c r="I5" i="61"/>
  <c r="I4" i="59"/>
  <c r="I5" i="59"/>
  <c r="I4" i="57"/>
  <c r="I5" i="57"/>
  <c r="I4" i="55"/>
  <c r="I5" i="55"/>
  <c r="I3" i="54"/>
  <c r="I5" i="54"/>
  <c r="I3" i="53"/>
  <c r="I5" i="53"/>
  <c r="I3" i="52"/>
  <c r="I4" i="52"/>
  <c r="I6" i="48"/>
  <c r="I5" i="48"/>
  <c r="I4" i="46"/>
  <c r="I5" i="46"/>
  <c r="I4" i="45"/>
  <c r="I5" i="45"/>
  <c r="I3" i="95"/>
  <c r="I5" i="95"/>
  <c r="I4" i="95"/>
  <c r="E20" i="82"/>
  <c r="D22" i="82" s="1"/>
  <c r="E95" i="3" s="1"/>
  <c r="F95" i="3" s="1"/>
  <c r="I4" i="78"/>
  <c r="E20" i="78" s="1"/>
  <c r="D22" i="78" s="1"/>
  <c r="I3" i="61"/>
  <c r="I5" i="60"/>
  <c r="I4" i="54"/>
  <c r="E20" i="29"/>
  <c r="D22" i="29" s="1"/>
  <c r="I6" i="28"/>
  <c r="I5" i="28"/>
  <c r="I3" i="21"/>
  <c r="E20" i="19"/>
  <c r="D22" i="19" s="1"/>
  <c r="D23" i="19" s="1"/>
  <c r="I4" i="58"/>
  <c r="I4" i="44"/>
  <c r="I3" i="44"/>
  <c r="I3" i="45"/>
  <c r="I3" i="59"/>
  <c r="E20" i="67"/>
  <c r="D22" i="67" s="1"/>
  <c r="E20" i="77"/>
  <c r="D22" i="77" s="1"/>
  <c r="D23" i="77" s="1"/>
  <c r="I4" i="79"/>
  <c r="E20" i="79" s="1"/>
  <c r="D22" i="79" s="1"/>
  <c r="I3" i="83"/>
  <c r="I4" i="83"/>
  <c r="I3" i="92"/>
  <c r="E20" i="92" s="1"/>
  <c r="D22" i="92" s="1"/>
  <c r="D23" i="92" s="1"/>
  <c r="I4" i="90"/>
  <c r="E20" i="90" s="1"/>
  <c r="D22" i="90" s="1"/>
  <c r="I4" i="86"/>
  <c r="E20" i="86" s="1"/>
  <c r="D22" i="86" s="1"/>
  <c r="E20" i="69"/>
  <c r="D22" i="69" s="1"/>
  <c r="D23" i="69" s="1"/>
  <c r="I4" i="72"/>
  <c r="E20" i="72" s="1"/>
  <c r="D22" i="72" s="1"/>
  <c r="D23" i="72" s="1"/>
  <c r="I3" i="73"/>
  <c r="E20" i="73" s="1"/>
  <c r="D22" i="73" s="1"/>
  <c r="E84" i="3" s="1"/>
  <c r="F84" i="3" s="1"/>
  <c r="I3" i="76"/>
  <c r="E20" i="76" s="1"/>
  <c r="D22" i="76" s="1"/>
  <c r="I3" i="74"/>
  <c r="E20" i="66"/>
  <c r="D22" i="66" s="1"/>
  <c r="E77" i="3" s="1"/>
  <c r="F77" i="3" s="1"/>
  <c r="I3" i="58"/>
  <c r="E20" i="58" s="1"/>
  <c r="D22" i="58" s="1"/>
  <c r="E67" i="3" s="1"/>
  <c r="F67" i="3" s="1"/>
  <c r="E20" i="62"/>
  <c r="D22" i="62" s="1"/>
  <c r="D23" i="62" s="1"/>
  <c r="I3" i="56"/>
  <c r="I4" i="56"/>
  <c r="I3" i="55"/>
  <c r="I4" i="53"/>
  <c r="E20" i="47"/>
  <c r="D22" i="47" s="1"/>
  <c r="E56" i="3" s="1"/>
  <c r="F56" i="3" s="1"/>
  <c r="I3" i="43"/>
  <c r="E20" i="43" s="1"/>
  <c r="D22" i="43" s="1"/>
  <c r="I3" i="37"/>
  <c r="E20" i="37" s="1"/>
  <c r="D22" i="37" s="1"/>
  <c r="D23" i="37" s="1"/>
  <c r="E20" i="40"/>
  <c r="D22" i="40" s="1"/>
  <c r="D23" i="40" s="1"/>
  <c r="I3" i="31"/>
  <c r="E20" i="31" s="1"/>
  <c r="D22" i="31" s="1"/>
  <c r="E36" i="3" s="1"/>
  <c r="F36" i="3" s="1"/>
  <c r="I4" i="36"/>
  <c r="E20" i="36" s="1"/>
  <c r="D22" i="36" s="1"/>
  <c r="E20" i="23"/>
  <c r="D22" i="23" s="1"/>
  <c r="D23" i="23" s="1"/>
  <c r="I4" i="26"/>
  <c r="I3" i="26"/>
  <c r="E20" i="24"/>
  <c r="D22" i="24" s="1"/>
  <c r="E27" i="3" s="1"/>
  <c r="F27" i="3" s="1"/>
  <c r="I3" i="17"/>
  <c r="I4" i="17"/>
  <c r="I4" i="94"/>
  <c r="I3" i="94"/>
  <c r="I4" i="50"/>
  <c r="I3" i="50"/>
  <c r="I3" i="16"/>
  <c r="I4" i="16"/>
  <c r="I3" i="28"/>
  <c r="I4" i="28"/>
  <c r="I4" i="81"/>
  <c r="I3" i="81"/>
  <c r="I4" i="65"/>
  <c r="I3" i="65"/>
  <c r="I4" i="27"/>
  <c r="I3" i="27"/>
  <c r="E20" i="27" s="1"/>
  <c r="D22" i="27" s="1"/>
  <c r="C20" i="2"/>
  <c r="I5" i="2" s="1"/>
  <c r="C20" i="11"/>
  <c r="I5" i="11" s="1"/>
  <c r="D23" i="29"/>
  <c r="E34" i="3"/>
  <c r="F34" i="3" s="1"/>
  <c r="E81" i="3"/>
  <c r="F81" i="3" s="1"/>
  <c r="D23" i="39"/>
  <c r="E46" i="3"/>
  <c r="F46" i="3" s="1"/>
  <c r="D23" i="84"/>
  <c r="E97" i="3"/>
  <c r="F97" i="3" s="1"/>
  <c r="D23" i="18"/>
  <c r="E21" i="3"/>
  <c r="F21" i="3" s="1"/>
  <c r="D23" i="32"/>
  <c r="E37" i="3"/>
  <c r="F37" i="3" s="1"/>
  <c r="D23" i="87"/>
  <c r="E100" i="3"/>
  <c r="F100" i="3" s="1"/>
  <c r="D23" i="91"/>
  <c r="C20" i="14"/>
  <c r="I5" i="14" s="1"/>
  <c r="C20" i="13"/>
  <c r="I3" i="12"/>
  <c r="C20" i="10"/>
  <c r="I4" i="10" s="1"/>
  <c r="C20" i="7"/>
  <c r="C20" i="6"/>
  <c r="I3" i="80"/>
  <c r="I4" i="80"/>
  <c r="I4" i="85"/>
  <c r="I3" i="85"/>
  <c r="I3" i="60"/>
  <c r="I4" i="60"/>
  <c r="I4" i="89"/>
  <c r="I3" i="89"/>
  <c r="I3" i="96"/>
  <c r="I4" i="96"/>
  <c r="E20" i="96" s="1"/>
  <c r="D22" i="96" s="1"/>
  <c r="I4" i="51"/>
  <c r="I3" i="51"/>
  <c r="I3" i="68"/>
  <c r="I4" i="68"/>
  <c r="I3" i="88"/>
  <c r="I4" i="88"/>
  <c r="I3" i="64"/>
  <c r="I4" i="64"/>
  <c r="I4" i="93"/>
  <c r="I3" i="93"/>
  <c r="I4" i="75"/>
  <c r="I3" i="75"/>
  <c r="E20" i="75" s="1"/>
  <c r="D22" i="75" s="1"/>
  <c r="I4" i="71"/>
  <c r="I3" i="71"/>
  <c r="I4" i="30"/>
  <c r="I3" i="30"/>
  <c r="I3" i="48"/>
  <c r="I4" i="48"/>
  <c r="I4" i="49"/>
  <c r="I3" i="49"/>
  <c r="I3" i="20"/>
  <c r="I4" i="20"/>
  <c r="I4" i="25"/>
  <c r="I3" i="25"/>
  <c r="I4" i="15"/>
  <c r="I3" i="15"/>
  <c r="I3" i="2"/>
  <c r="I4" i="2"/>
  <c r="I4" i="12"/>
  <c r="B20" i="4"/>
  <c r="C20" i="4" s="1"/>
  <c r="I5" i="4" s="1"/>
  <c r="C20" i="8"/>
  <c r="I5" i="8" s="1"/>
  <c r="C20" i="5"/>
  <c r="I5" i="5" s="1"/>
  <c r="C20" i="9"/>
  <c r="I5" i="9" s="1"/>
  <c r="E20" i="26" l="1"/>
  <c r="D22" i="26" s="1"/>
  <c r="E29" i="3" s="1"/>
  <c r="F29" i="3" s="1"/>
  <c r="E20" i="21"/>
  <c r="D22" i="21" s="1"/>
  <c r="D23" i="21" s="1"/>
  <c r="E20" i="68"/>
  <c r="D22" i="68" s="1"/>
  <c r="E20" i="20"/>
  <c r="D22" i="20" s="1"/>
  <c r="E20" i="71"/>
  <c r="D22" i="71" s="1"/>
  <c r="E20" i="85"/>
  <c r="D22" i="85" s="1"/>
  <c r="E98" i="3" s="1"/>
  <c r="F98" i="3" s="1"/>
  <c r="D23" i="67"/>
  <c r="E78" i="3"/>
  <c r="E20" i="52"/>
  <c r="D22" i="52" s="1"/>
  <c r="D23" i="52" s="1"/>
  <c r="E20" i="46"/>
  <c r="D22" i="46" s="1"/>
  <c r="E55" i="3" s="1"/>
  <c r="F55" i="3" s="1"/>
  <c r="E20" i="95"/>
  <c r="D22" i="95" s="1"/>
  <c r="D23" i="95" s="1"/>
  <c r="E105" i="3"/>
  <c r="F105" i="3" s="1"/>
  <c r="E20" i="89"/>
  <c r="D22" i="89" s="1"/>
  <c r="D23" i="82"/>
  <c r="E20" i="74"/>
  <c r="D22" i="74" s="1"/>
  <c r="D23" i="74" s="1"/>
  <c r="E20" i="54"/>
  <c r="D22" i="54" s="1"/>
  <c r="D23" i="54" s="1"/>
  <c r="E20" i="53"/>
  <c r="D22" i="53" s="1"/>
  <c r="E62" i="3" s="1"/>
  <c r="F62" i="3" s="1"/>
  <c r="D23" i="42"/>
  <c r="E49" i="3"/>
  <c r="F49" i="3" s="1"/>
  <c r="E47" i="3"/>
  <c r="F47" i="3" s="1"/>
  <c r="D23" i="38"/>
  <c r="E20" i="35"/>
  <c r="D22" i="35" s="1"/>
  <c r="D23" i="33"/>
  <c r="E38" i="3"/>
  <c r="F38" i="3" s="1"/>
  <c r="E20" i="25"/>
  <c r="D22" i="25" s="1"/>
  <c r="D23" i="24"/>
  <c r="E20" i="22"/>
  <c r="D22" i="22" s="1"/>
  <c r="I4" i="11"/>
  <c r="I3" i="11"/>
  <c r="E20" i="65"/>
  <c r="D22" i="65" s="1"/>
  <c r="E74" i="3" s="1"/>
  <c r="F74" i="3" s="1"/>
  <c r="E20" i="57"/>
  <c r="D22" i="57" s="1"/>
  <c r="D23" i="57" s="1"/>
  <c r="E20" i="45"/>
  <c r="D22" i="45" s="1"/>
  <c r="E54" i="3" s="1"/>
  <c r="F54" i="3" s="1"/>
  <c r="D23" i="63"/>
  <c r="E20" i="61"/>
  <c r="D22" i="61" s="1"/>
  <c r="E20" i="60"/>
  <c r="D22" i="60" s="1"/>
  <c r="E69" i="3" s="1"/>
  <c r="F69" i="3" s="1"/>
  <c r="E20" i="59"/>
  <c r="D22" i="59" s="1"/>
  <c r="D23" i="59" s="1"/>
  <c r="E20" i="55"/>
  <c r="D22" i="55" s="1"/>
  <c r="E64" i="3" s="1"/>
  <c r="F64" i="3" s="1"/>
  <c r="I4" i="13"/>
  <c r="I5" i="13"/>
  <c r="I3" i="13"/>
  <c r="I3" i="10"/>
  <c r="I5" i="10"/>
  <c r="E20" i="10" s="1"/>
  <c r="D22" i="10" s="1"/>
  <c r="D23" i="10" s="1"/>
  <c r="E108" i="3"/>
  <c r="F108" i="3" s="1"/>
  <c r="E20" i="88"/>
  <c r="D22" i="88" s="1"/>
  <c r="D23" i="88" s="1"/>
  <c r="E20" i="81"/>
  <c r="D22" i="81" s="1"/>
  <c r="D23" i="81" s="1"/>
  <c r="D23" i="78"/>
  <c r="E91" i="3"/>
  <c r="F91" i="3" s="1"/>
  <c r="E90" i="3"/>
  <c r="F90" i="3" s="1"/>
  <c r="E83" i="3"/>
  <c r="F83" i="3" s="1"/>
  <c r="E80" i="3"/>
  <c r="F80" i="3" s="1"/>
  <c r="D23" i="66"/>
  <c r="E63" i="3"/>
  <c r="F63" i="3" s="1"/>
  <c r="E20" i="50"/>
  <c r="D22" i="50" s="1"/>
  <c r="D23" i="50" s="1"/>
  <c r="D23" i="41"/>
  <c r="E39" i="3"/>
  <c r="F39" i="3" s="1"/>
  <c r="E26" i="3"/>
  <c r="F26" i="3" s="1"/>
  <c r="E22" i="3"/>
  <c r="F22" i="3" s="1"/>
  <c r="I3" i="7"/>
  <c r="I5" i="7"/>
  <c r="I4" i="6"/>
  <c r="I5" i="6"/>
  <c r="D23" i="58"/>
  <c r="I3" i="14"/>
  <c r="E20" i="44"/>
  <c r="D22" i="44" s="1"/>
  <c r="E53" i="3" s="1"/>
  <c r="F53" i="3" s="1"/>
  <c r="I4" i="14"/>
  <c r="E20" i="51"/>
  <c r="D22" i="51" s="1"/>
  <c r="E60" i="3" s="1"/>
  <c r="F60" i="3" s="1"/>
  <c r="E61" i="3"/>
  <c r="F61" i="3" s="1"/>
  <c r="F78" i="3"/>
  <c r="D23" i="73"/>
  <c r="E20" i="80"/>
  <c r="D22" i="80" s="1"/>
  <c r="E93" i="3" s="1"/>
  <c r="F93" i="3" s="1"/>
  <c r="E20" i="83"/>
  <c r="D22" i="83" s="1"/>
  <c r="E20" i="94"/>
  <c r="D22" i="94" s="1"/>
  <c r="E107" i="3" s="1"/>
  <c r="F107" i="3" s="1"/>
  <c r="E20" i="93"/>
  <c r="D22" i="93" s="1"/>
  <c r="D23" i="93" s="1"/>
  <c r="E103" i="3"/>
  <c r="F103" i="3" s="1"/>
  <c r="D23" i="90"/>
  <c r="D23" i="86"/>
  <c r="E99" i="3"/>
  <c r="F99" i="3" s="1"/>
  <c r="D23" i="79"/>
  <c r="E92" i="3"/>
  <c r="F92" i="3" s="1"/>
  <c r="E85" i="3"/>
  <c r="F85" i="3" s="1"/>
  <c r="D23" i="76"/>
  <c r="E87" i="3"/>
  <c r="F87" i="3" s="1"/>
  <c r="D23" i="47"/>
  <c r="E20" i="56"/>
  <c r="D22" i="56" s="1"/>
  <c r="D23" i="56" s="1"/>
  <c r="E20" i="64"/>
  <c r="D22" i="64" s="1"/>
  <c r="D23" i="64" s="1"/>
  <c r="E71" i="3"/>
  <c r="F71" i="3" s="1"/>
  <c r="D23" i="53"/>
  <c r="E20" i="49"/>
  <c r="D22" i="49" s="1"/>
  <c r="D23" i="49" s="1"/>
  <c r="E20" i="48"/>
  <c r="D22" i="48" s="1"/>
  <c r="D23" i="48" s="1"/>
  <c r="D23" i="43"/>
  <c r="E50" i="3"/>
  <c r="F50" i="3" s="1"/>
  <c r="E44" i="3"/>
  <c r="F44" i="3" s="1"/>
  <c r="D23" i="36"/>
  <c r="E41" i="3"/>
  <c r="F41" i="3" s="1"/>
  <c r="D23" i="31"/>
  <c r="E20" i="30"/>
  <c r="D22" i="30" s="1"/>
  <c r="D23" i="30" s="1"/>
  <c r="E20" i="28"/>
  <c r="D22" i="28" s="1"/>
  <c r="D23" i="28" s="1"/>
  <c r="D23" i="26"/>
  <c r="E20" i="17"/>
  <c r="D22" i="17" s="1"/>
  <c r="E20" i="16"/>
  <c r="D22" i="16" s="1"/>
  <c r="E19" i="3" s="1"/>
  <c r="F19" i="3" s="1"/>
  <c r="E20" i="15"/>
  <c r="D22" i="15" s="1"/>
  <c r="D23" i="15" s="1"/>
  <c r="D23" i="20"/>
  <c r="E23" i="3"/>
  <c r="F23" i="3" s="1"/>
  <c r="D23" i="85"/>
  <c r="D23" i="27"/>
  <c r="E30" i="3"/>
  <c r="F30" i="3" s="1"/>
  <c r="D23" i="75"/>
  <c r="E86" i="3"/>
  <c r="F86" i="3" s="1"/>
  <c r="D23" i="68"/>
  <c r="E79" i="3"/>
  <c r="F79" i="3" s="1"/>
  <c r="D23" i="96"/>
  <c r="E109" i="3"/>
  <c r="F109" i="3" s="1"/>
  <c r="D23" i="25"/>
  <c r="E28" i="3"/>
  <c r="F28" i="3" s="1"/>
  <c r="D23" i="71"/>
  <c r="E82" i="3"/>
  <c r="F82" i="3" s="1"/>
  <c r="D23" i="89"/>
  <c r="E102" i="3"/>
  <c r="F102" i="3" s="1"/>
  <c r="E20" i="2"/>
  <c r="D22" i="2" s="1"/>
  <c r="E4" i="3" s="1"/>
  <c r="F4" i="3" s="1"/>
  <c r="E20" i="12"/>
  <c r="D22" i="12" s="1"/>
  <c r="D23" i="12" s="1"/>
  <c r="E20" i="11"/>
  <c r="D22" i="11" s="1"/>
  <c r="E12" i="3" s="1"/>
  <c r="F12" i="3" s="1"/>
  <c r="G12" i="3" s="1"/>
  <c r="I4" i="7"/>
  <c r="I3" i="6"/>
  <c r="I3" i="4"/>
  <c r="I4" i="4"/>
  <c r="I3" i="9"/>
  <c r="I4" i="9"/>
  <c r="E20" i="9" s="1"/>
  <c r="D22" i="9" s="1"/>
  <c r="I4" i="5"/>
  <c r="I3" i="5"/>
  <c r="I3" i="8"/>
  <c r="I4" i="8"/>
  <c r="F51" i="3" l="1"/>
  <c r="F88" i="3"/>
  <c r="D23" i="46"/>
  <c r="E24" i="3"/>
  <c r="F24" i="3" s="1"/>
  <c r="E20" i="13"/>
  <c r="D22" i="13" s="1"/>
  <c r="D23" i="13" s="1"/>
  <c r="D23" i="45"/>
  <c r="D23" i="65"/>
  <c r="E40" i="3"/>
  <c r="F40" i="3" s="1"/>
  <c r="D23" i="35"/>
  <c r="E25" i="3"/>
  <c r="F25" i="3" s="1"/>
  <c r="D23" i="22"/>
  <c r="D23" i="60"/>
  <c r="E66" i="3"/>
  <c r="F66" i="3" s="1"/>
  <c r="E70" i="3"/>
  <c r="F70" i="3" s="1"/>
  <c r="D23" i="61"/>
  <c r="E68" i="3"/>
  <c r="F68" i="3" s="1"/>
  <c r="D23" i="55"/>
  <c r="E20" i="6"/>
  <c r="D22" i="6" s="1"/>
  <c r="D23" i="6" s="1"/>
  <c r="D23" i="94"/>
  <c r="E101" i="3"/>
  <c r="F101" i="3" s="1"/>
  <c r="E94" i="3"/>
  <c r="F94" i="3" s="1"/>
  <c r="D23" i="80"/>
  <c r="E65" i="3"/>
  <c r="F65" i="3" s="1"/>
  <c r="E59" i="3"/>
  <c r="F59" i="3" s="1"/>
  <c r="D23" i="44"/>
  <c r="E35" i="3"/>
  <c r="F35" i="3" s="1"/>
  <c r="F42" i="3" s="1"/>
  <c r="E20" i="7"/>
  <c r="D22" i="7" s="1"/>
  <c r="D23" i="7" s="1"/>
  <c r="E20" i="5"/>
  <c r="D22" i="5" s="1"/>
  <c r="D23" i="5" s="1"/>
  <c r="E20" i="14"/>
  <c r="D22" i="14" s="1"/>
  <c r="E15" i="3" s="1"/>
  <c r="F15" i="3" s="1"/>
  <c r="G15" i="3" s="1"/>
  <c r="E31" i="3"/>
  <c r="F31" i="3" s="1"/>
  <c r="D23" i="51"/>
  <c r="D23" i="83"/>
  <c r="E96" i="3"/>
  <c r="F96" i="3" s="1"/>
  <c r="E106" i="3"/>
  <c r="F106" i="3" s="1"/>
  <c r="E57" i="3"/>
  <c r="F57" i="3" s="1"/>
  <c r="F75" i="3" s="1"/>
  <c r="E58" i="3"/>
  <c r="F58" i="3" s="1"/>
  <c r="E73" i="3"/>
  <c r="F73" i="3" s="1"/>
  <c r="D23" i="17"/>
  <c r="E20" i="3"/>
  <c r="F20" i="3" s="1"/>
  <c r="D23" i="16"/>
  <c r="E16" i="3"/>
  <c r="F16" i="3" s="1"/>
  <c r="D23" i="2"/>
  <c r="E20" i="4"/>
  <c r="D22" i="4" s="1"/>
  <c r="D23" i="4" s="1"/>
  <c r="E13" i="3"/>
  <c r="F13" i="3" s="1"/>
  <c r="G13" i="3" s="1"/>
  <c r="E20" i="8"/>
  <c r="D22" i="8" s="1"/>
  <c r="D23" i="8" s="1"/>
  <c r="E14" i="3"/>
  <c r="F14" i="3" s="1"/>
  <c r="G14" i="3" s="1"/>
  <c r="D23" i="11"/>
  <c r="E11" i="3"/>
  <c r="F11" i="3" s="1"/>
  <c r="G11" i="3" s="1"/>
  <c r="E10" i="3"/>
  <c r="F10" i="3" s="1"/>
  <c r="G10" i="3" s="1"/>
  <c r="D23" i="9"/>
  <c r="G4" i="3"/>
  <c r="F110" i="3" l="1"/>
  <c r="F32" i="3"/>
  <c r="E7" i="3"/>
  <c r="F7" i="3" s="1"/>
  <c r="G7" i="3" s="1"/>
  <c r="E9" i="3"/>
  <c r="F9" i="3" s="1"/>
  <c r="G9" i="3" s="1"/>
  <c r="E8" i="3"/>
  <c r="F8" i="3" s="1"/>
  <c r="G8" i="3" s="1"/>
  <c r="E6" i="3"/>
  <c r="F6" i="3" s="1"/>
  <c r="G6" i="3" s="1"/>
  <c r="E5" i="3"/>
  <c r="F5" i="3" s="1"/>
  <c r="D23" i="14"/>
  <c r="G5" i="3" l="1"/>
  <c r="F17" i="3"/>
  <c r="F111" i="3" s="1"/>
</calcChain>
</file>

<file path=xl/sharedStrings.xml><?xml version="1.0" encoding="utf-8"?>
<sst xmlns="http://schemas.openxmlformats.org/spreadsheetml/2006/main" count="2654" uniqueCount="235">
  <si>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</si>
  <si>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</si>
  <si>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</si>
  <si>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</si>
  <si>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</si>
  <si>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</si>
  <si>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</si>
  <si>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</si>
  <si>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</si>
  <si>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</si>
  <si>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</si>
  <si>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</si>
  <si>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</si>
  <si>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</si>
  <si>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</si>
  <si>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</si>
  <si>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</si>
  <si>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</si>
  <si>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</si>
  <si>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</si>
  <si>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</si>
  <si>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</si>
  <si>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</si>
  <si>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</si>
  <si>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</si>
  <si>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</si>
  <si>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</si>
  <si>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</si>
  <si>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</si>
  <si>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</si>
  <si>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</si>
  <si>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</si>
  <si>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</si>
  <si>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</si>
  <si>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</si>
  <si>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</si>
  <si>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</si>
  <si>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</si>
  <si>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</si>
  <si>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</si>
  <si>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</si>
  <si>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</si>
  <si>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</si>
  <si>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</si>
  <si>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</si>
  <si>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</si>
  <si>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</si>
  <si>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</si>
  <si>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</si>
  <si>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</si>
  <si>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</si>
  <si>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</si>
  <si>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</si>
  <si>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</si>
  <si>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</si>
  <si>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</si>
  <si>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</si>
  <si>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</si>
  <si>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</si>
  <si>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</si>
  <si>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</si>
  <si>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</si>
  <si>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</si>
  <si>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</si>
  <si>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</si>
  <si>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</si>
  <si>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</si>
  <si>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</si>
  <si>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</si>
  <si>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</si>
  <si>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</si>
  <si>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</si>
  <si>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</si>
  <si>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</si>
  <si>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</si>
  <si>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47</t>
  </si>
  <si>
    <t>ITEM 48</t>
  </si>
  <si>
    <t>ITEM 49</t>
  </si>
  <si>
    <t>ITEM 50</t>
  </si>
  <si>
    <t>ITEM 51</t>
  </si>
  <si>
    <t>ITEM 52</t>
  </si>
  <si>
    <t>ITEM 53</t>
  </si>
  <si>
    <t>ITEM 54</t>
  </si>
  <si>
    <t>ITEM 55</t>
  </si>
  <si>
    <t>ITEM 56</t>
  </si>
  <si>
    <t>ITEM 57</t>
  </si>
  <si>
    <t>ITEM 58</t>
  </si>
  <si>
    <t>ITEM 59</t>
  </si>
  <si>
    <t>ITEM 60</t>
  </si>
  <si>
    <t>ITEM 61</t>
  </si>
  <si>
    <t>ITEM 62</t>
  </si>
  <si>
    <t>ITEM 63</t>
  </si>
  <si>
    <t>ITEM 64</t>
  </si>
  <si>
    <t>ITEM 65</t>
  </si>
  <si>
    <t>ITEM 66</t>
  </si>
  <si>
    <t>ITEM 67</t>
  </si>
  <si>
    <t>ITEM 68</t>
  </si>
  <si>
    <t>ITEM 69</t>
  </si>
  <si>
    <t>ITEM 70</t>
  </si>
  <si>
    <t>ITEM 71</t>
  </si>
  <si>
    <t>ITEM 72</t>
  </si>
  <si>
    <t>ITEM 73</t>
  </si>
  <si>
    <t>ITEM 74</t>
  </si>
  <si>
    <t>ITEM 75</t>
  </si>
  <si>
    <t>ITEM 76</t>
  </si>
  <si>
    <t>ITEM 77</t>
  </si>
  <si>
    <t>ITEM 78</t>
  </si>
  <si>
    <t>ITEM 79</t>
  </si>
  <si>
    <t>ITEM 80</t>
  </si>
  <si>
    <t>ITEM 81</t>
  </si>
  <si>
    <t>ITEM 82</t>
  </si>
  <si>
    <t>ITEM 83</t>
  </si>
  <si>
    <t>ITEM 84</t>
  </si>
  <si>
    <t>ITEM 85</t>
  </si>
  <si>
    <t>ITEM 86</t>
  </si>
  <si>
    <t>ITEM 87</t>
  </si>
  <si>
    <t>ITEM 88</t>
  </si>
  <si>
    <t>ITEM 89</t>
  </si>
  <si>
    <t>ITEM 90</t>
  </si>
  <si>
    <t>ITEM 91</t>
  </si>
  <si>
    <t>ITEM 92</t>
  </si>
  <si>
    <t>ITEM 93</t>
  </si>
  <si>
    <t>ITEM 94</t>
  </si>
  <si>
    <t>Cícero Dantas (192.00 e 164.71 m²)</t>
  </si>
  <si>
    <t xml:space="preserve">
Euclides da Cunha (220.52 e 220.53 m²)
</t>
  </si>
  <si>
    <t xml:space="preserve">
Inhambupe (182.00 e 70.00 m²)
</t>
  </si>
  <si>
    <t xml:space="preserve">
Jeremoabo (234.60 e 161.60 m²)
</t>
  </si>
  <si>
    <t xml:space="preserve">
Monte Santo (207.10 e 145.50 m²)
</t>
  </si>
  <si>
    <t xml:space="preserve">
Nova Soure (101.00 e 101.00 m²)
</t>
  </si>
  <si>
    <t xml:space="preserve">
Olindina (59,47 e 59,47 m²)
</t>
  </si>
  <si>
    <t xml:space="preserve">
Paulo Afonso (400.00 e 270.00 m²)
</t>
  </si>
  <si>
    <t xml:space="preserve">
Rio Real (130.00 e 130.00 m²)
</t>
  </si>
  <si>
    <t>Serrinha (312.50 e 80.00 m²)</t>
  </si>
  <si>
    <t>Tucano (876.11 e 204.89 m²)</t>
  </si>
  <si>
    <t>Tucano (152.00 e 152.00 m²)</t>
  </si>
  <si>
    <t>Angical (163.60 e 163.60 m²)</t>
  </si>
  <si>
    <t>Barreiras (2148.00 e 510.45 m²)</t>
  </si>
  <si>
    <t>Brumado (975.52 e 298.00 m²)</t>
  </si>
  <si>
    <t>Caculé (75.00 e 75.00 m²)</t>
  </si>
  <si>
    <t>Guanambi (3757.20 e 1105.00 m²)</t>
  </si>
  <si>
    <t>Ibotirama (450.00 e 65.00 m²)</t>
  </si>
  <si>
    <t>Igaporã (216.00 e 84.00 m²)</t>
  </si>
  <si>
    <t>Jacaraci (163.00 e 164.00 m²)</t>
  </si>
  <si>
    <t>Livramento de Nossa Senhora (140.00 e 140.00 m²)</t>
  </si>
  <si>
    <t>Luís Eduardo Magalhães (196.50 e 137,48 m²)</t>
  </si>
  <si>
    <t>Paramirim (300.00 e 110.60 m²)</t>
  </si>
  <si>
    <t>Riacho de Santana (358.00 e 308.00 m²)</t>
  </si>
  <si>
    <t>Seabra (960.00 e 320.40 m²)</t>
  </si>
  <si>
    <t>Condeúba (32.90 e 32.00 m²)</t>
  </si>
  <si>
    <t>Encruzilhada (151.60 e 83.84 m²)</t>
  </si>
  <si>
    <t>Jequié (2.000.00 e 743.45 m²)</t>
  </si>
  <si>
    <t>Jequié (312.00 e 312.00 m²)</t>
  </si>
  <si>
    <t>Maracás (155.00 e 155.00 m²)</t>
  </si>
  <si>
    <t>Poções (257.65 e 139.75 m²)</t>
  </si>
  <si>
    <t>Vitória da Conquista (2832.40 e 1025.75 m²)</t>
  </si>
  <si>
    <t>Barra (146.00 e 146.00 m²)</t>
  </si>
  <si>
    <t>Canarana (234.24 e 234.24 m²)</t>
  </si>
  <si>
    <t>Central (100,00 e 100,00 m²)</t>
  </si>
  <si>
    <t>Ipirá (1000.00 e 292.58 m²)</t>
  </si>
  <si>
    <t>Irecê (874,94 e 430,26 m²)</t>
  </si>
  <si>
    <t>Morro do Chapéu (317.00 e 117.64 m²)</t>
  </si>
  <si>
    <t>Mundo Novo (169.00 e 136.84 m²)</t>
  </si>
  <si>
    <t xml:space="preserve">Buerarema (250.00 e 250.00 m²)
</t>
  </si>
  <si>
    <t xml:space="preserve">Camacan (105.00 e 105.00 m²)
</t>
  </si>
  <si>
    <t xml:space="preserve">Camamu (205.80 e 191.92 m²)
</t>
  </si>
  <si>
    <t xml:space="preserve">Eunápolis (1350.00 e 314.00 m²)
</t>
  </si>
  <si>
    <t xml:space="preserve">Gandu (298.00 e 298.00 m²)
</t>
  </si>
  <si>
    <t xml:space="preserve">Ibicaraí (39.00 e 32.68 m²)
</t>
  </si>
  <si>
    <t xml:space="preserve">Ilhéus (2025.63 e 783,90 m²)
</t>
  </si>
  <si>
    <t xml:space="preserve">Ipiaú (465.75 e 205.00 m²)
</t>
  </si>
  <si>
    <t xml:space="preserve">Itabuna (454.00 e 454.00 m²)
</t>
  </si>
  <si>
    <t xml:space="preserve">Itagibá (143.00 e 143.00 m²)
</t>
  </si>
  <si>
    <t xml:space="preserve">Itajuípe (130.00 e 130.00 m²)
</t>
  </si>
  <si>
    <t xml:space="preserve">Itamaraju (22.00 e 22.00 m²)
</t>
  </si>
  <si>
    <t xml:space="preserve">Itaparica (1380.77 e 191.77 m²)
</t>
  </si>
  <si>
    <t xml:space="preserve">Itarantim (127.00 e 117.00 m²)
</t>
  </si>
  <si>
    <t xml:space="preserve">Ituberá (133.00 e 90.00 m²)
</t>
  </si>
  <si>
    <t xml:space="preserve">Medeiros Neto (93.20 e 93.20 m²)
</t>
  </si>
  <si>
    <t xml:space="preserve">Nazaré (220.00 e 220.00 m²)
</t>
  </si>
  <si>
    <t xml:space="preserve">Porto Seguro (909.80 e 204.89 m²)
</t>
  </si>
  <si>
    <t xml:space="preserve">Teixeira de Freitas (600.00 e 170.00 m²)
</t>
  </si>
  <si>
    <t xml:space="preserve">Ubatã (180.00 e 90.00 m²)
</t>
  </si>
  <si>
    <t xml:space="preserve">Valença (1000.00 e 317.85 m²)
</t>
  </si>
  <si>
    <t xml:space="preserve">Wenceslau Guimarães (109.00 e 109.00 m²)
</t>
  </si>
  <si>
    <t>Conceição do Coité (321.23 e 188.00 m²)</t>
  </si>
  <si>
    <t>Itiúba (20.00 e 20.00 m²)</t>
  </si>
  <si>
    <t>Jacobina (2130.00 e 604.10 m²)</t>
  </si>
  <si>
    <t>Juazeiro (1616.43 e 773.45 m²)</t>
  </si>
  <si>
    <t>Miguel Calmon (96.75 e 96.75 m²)</t>
  </si>
  <si>
    <t>Queimadas (526.00 e 455.83 m²)</t>
  </si>
  <si>
    <t>Remanso (192.00 e 164.71 m²)</t>
  </si>
  <si>
    <t>Retirolândia (308.00 e 108.00 m²)</t>
  </si>
  <si>
    <t>Riachão do Jacuípe (300.00 e 145.80 m²)</t>
  </si>
  <si>
    <t>Saúde (255.00 e 255.00 m²)</t>
  </si>
  <si>
    <t>Senhor do Bonfim (32.00 e 32.00 m²)</t>
  </si>
  <si>
    <t>Alagoinhas (350.00 e 264.00 m²)</t>
  </si>
  <si>
    <t>Amargosa (337.00 e 235.82 m²)</t>
  </si>
  <si>
    <t>Camaçari (1865.00 e 937.68 m²)</t>
  </si>
  <si>
    <t>Castro Alves (63.70 e 63.70 m²)</t>
  </si>
  <si>
    <t>Catu (166.40 e 85.05 m²)</t>
  </si>
  <si>
    <t>Conceição do Jacuípe (76.00 e 76.00 m²)</t>
  </si>
  <si>
    <t>Cruz das Almas (2000.00 e 340.28 m²)</t>
  </si>
  <si>
    <t>Dias D’ Ávila (182.24 e 182.24 m²)</t>
  </si>
  <si>
    <t>Feira de Santana (1350.00 e 314.00 m ²)</t>
  </si>
  <si>
    <t>Irará (300.00 e 192.90 m²)</t>
  </si>
  <si>
    <t>Lauro de Freitas (110.00 e 110.00 m²)</t>
  </si>
  <si>
    <t>Mata de São João (150.00 e 150.00 m²)</t>
  </si>
  <si>
    <t>Muritiba (176.23 e 176.23 m²)</t>
  </si>
  <si>
    <t>Mutuípe (398.15 e190.40 m²)</t>
  </si>
  <si>
    <t>Santo Antônio de Jesus (425.00 e 265.16 m²)</t>
  </si>
  <si>
    <t>São Francisco do Conde (306.00 e 77.00 m²)</t>
  </si>
  <si>
    <t>São Felipe (160.00 e 110.69 m²)</t>
  </si>
  <si>
    <t>São Gonçalo Campos (375.00 e 104.75 m²)</t>
  </si>
  <si>
    <t>São Sebastião do Passé (175.00 e 175.00 m²)</t>
  </si>
  <si>
    <t>Rio Real (130.00 e 130.00 m²)</t>
  </si>
  <si>
    <t>LAURI</t>
  </si>
  <si>
    <t>HIDROLIMP</t>
  </si>
  <si>
    <t>MATERIAL OU SERVIÇO</t>
  </si>
  <si>
    <t>KING CONTROLE DE PRAGAS</t>
  </si>
  <si>
    <t>LOTE 1</t>
  </si>
  <si>
    <t>TOTAL LOTE 1</t>
  </si>
  <si>
    <t>LOTE 2</t>
  </si>
  <si>
    <t>TOTAL LOTE 2</t>
  </si>
  <si>
    <t>TOTAL LOTE 3</t>
  </si>
  <si>
    <t>LOTE 3</t>
  </si>
  <si>
    <t xml:space="preserve">Ribeira do Pombal (857.00 e 298.00 m²)
</t>
  </si>
  <si>
    <t>LOTE 4</t>
  </si>
  <si>
    <t>TOTAL LOTE 4</t>
  </si>
  <si>
    <t>LOTE 5</t>
  </si>
  <si>
    <t>TOTAL LOTE 5</t>
  </si>
  <si>
    <t>LOTE 6</t>
  </si>
  <si>
    <t>LOTE 7</t>
  </si>
  <si>
    <t>TOTAL LOTE 6</t>
  </si>
  <si>
    <t>TOTAL LOTE 7</t>
  </si>
  <si>
    <t>Itambé (263,12 e 263,12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</si>
</sst>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8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6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7" fillId="0" borderId="0" xfId="0" applyFont="1"/>
    <xf numFmtId="164" fontId="14" fillId="0" borderId="3" xfId="0" applyNumberFormat="1" applyFont="1" applyFill="1" applyBorder="1" applyAlignment="1">
      <alignment horizontal="center"/>
    </xf>
    <xf numFmtId="0" fontId="13" fillId="0" borderId="3" xfId="0" applyFont="1" applyFill="1" applyBorder="1"/>
    <xf numFmtId="44" fontId="12" fillId="9" borderId="9" xfId="12" applyFont="1" applyFill="1" applyBorder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2" fillId="9" borderId="24" xfId="0" applyFont="1" applyFill="1" applyBorder="1" applyAlignment="1">
      <alignment horizontal="right" vertical="center" wrapText="1"/>
    </xf>
    <xf numFmtId="0" fontId="12" fillId="9" borderId="25" xfId="0" applyFont="1" applyFill="1" applyBorder="1" applyAlignment="1">
      <alignment horizontal="right" vertical="center" wrapText="1"/>
    </xf>
    <xf numFmtId="0" fontId="12" fillId="9" borderId="26" xfId="0" applyFont="1" applyFill="1" applyBorder="1" applyAlignment="1">
      <alignment horizontal="right" vertical="center" wrapText="1"/>
    </xf>
    <xf numFmtId="0" fontId="16" fillId="9" borderId="9" xfId="0" applyFont="1" applyFill="1" applyBorder="1" applyAlignment="1">
      <alignment horizontal="center" wrapText="1"/>
    </xf>
    <xf numFmtId="0" fontId="12" fillId="9" borderId="24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97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I12" sqref="I1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0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123</v>
      </c>
      <c r="C3" s="64"/>
      <c r="D3" s="65"/>
      <c r="E3" s="75" t="s">
        <v>9</v>
      </c>
      <c r="F3" s="76">
        <v>1</v>
      </c>
      <c r="G3" s="4" t="s">
        <v>215</v>
      </c>
      <c r="H3" s="5">
        <f>2304*2</f>
        <v>4608</v>
      </c>
      <c r="I3" s="5">
        <f>IF(H3="","",(IF($C$20&lt;25%,"N/A",IF(H3&lt;=($D$20+$B$20),H3,"Descartado"))))</f>
        <v>4608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1544.4</v>
      </c>
      <c r="I4" s="5">
        <f t="shared" ref="I4:I17" si="0">IF(H4="","",(IF($C$20&lt;25%,"N/A",IF(H4&lt;=($D$20+$B$20),H4,"Descartado"))))</f>
        <v>1544.4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2615.4253293361926</v>
      </c>
      <c r="C20" s="18">
        <f>IF(H23&lt;2,"N/A",(B20/D20))</f>
        <v>0.60821958916069097</v>
      </c>
      <c r="D20" s="19">
        <f>AVERAGE(H3:H17)</f>
        <v>4300.1333333333332</v>
      </c>
      <c r="E20" s="20">
        <f>IF(H23&lt;2,"N/A",(IF(C20&lt;=25%,"N/A",AVERAGE(I3:I17))))</f>
        <v>4300.1333333333332</v>
      </c>
      <c r="F20" s="19">
        <f>MEDIAN(H3:H17)</f>
        <v>4608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4300.1333333333332</v>
      </c>
      <c r="E22" s="78"/>
    </row>
    <row r="23" spans="1:9" x14ac:dyDescent="0.2">
      <c r="B23" s="77" t="s">
        <v>10</v>
      </c>
      <c r="C23" s="77"/>
      <c r="D23" s="78">
        <f>ROUND(D22,2)*F3</f>
        <v>4300.13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19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131</v>
      </c>
      <c r="C3" s="64"/>
      <c r="D3" s="65"/>
      <c r="E3" s="75" t="s">
        <v>9</v>
      </c>
      <c r="F3" s="76">
        <v>1</v>
      </c>
      <c r="G3" s="4" t="s">
        <v>215</v>
      </c>
      <c r="H3" s="5">
        <f>1560*2</f>
        <v>3120</v>
      </c>
      <c r="I3" s="5">
        <f>IF(H3="","",(IF($C$20&lt;25%,"N/A",IF(H3&lt;=($D$20+$B$20),H3,"Descartado"))))</f>
        <v>3120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882.2</v>
      </c>
      <c r="I4" s="5">
        <f t="shared" ref="I4:I17" si="0">IF(H4="","",(IF($C$20&lt;25%,"N/A",IF(H4&lt;=($D$20+$B$20),H4,"Descartado"))))</f>
        <v>882.2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2802.7559318166345</v>
      </c>
      <c r="C20" s="18">
        <f>IF(H23&lt;2,"N/A",(B20/D20))</f>
        <v>0.80429567020431048</v>
      </c>
      <c r="D20" s="19">
        <f>AVERAGE(H3:H17)</f>
        <v>3484.7333333333336</v>
      </c>
      <c r="E20" s="20">
        <f>IF(H23&lt;2,"N/A",(IF(C20&lt;=25%,"N/A",AVERAGE(I3:I17))))</f>
        <v>2001.1</v>
      </c>
      <c r="F20" s="19">
        <f>MEDIAN(H3:H17)</f>
        <v>3120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2001.1</v>
      </c>
      <c r="E22" s="78"/>
    </row>
    <row r="23" spans="1:9" x14ac:dyDescent="0.2">
      <c r="B23" s="77" t="s">
        <v>10</v>
      </c>
      <c r="C23" s="77"/>
      <c r="D23" s="78">
        <f>ROUND(D22,2)*F3</f>
        <v>2001.1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5" sqref="H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20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132</v>
      </c>
      <c r="C3" s="64"/>
      <c r="D3" s="65"/>
      <c r="E3" s="75" t="s">
        <v>9</v>
      </c>
      <c r="F3" s="76">
        <v>1</v>
      </c>
      <c r="G3" s="4" t="s">
        <v>215</v>
      </c>
      <c r="H3" s="5">
        <v>3750</v>
      </c>
      <c r="I3" s="5">
        <f>IF(H3="","",(IF($C$20&lt;25%,"N/A",IF(H3&lt;=($D$20+$B$20),H3,"Descartado"))))</f>
        <v>3750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f>1735.8*2</f>
        <v>3471.6</v>
      </c>
      <c r="I4" s="5">
        <f t="shared" ref="I4:I17" si="0">IF(H4="","",(IF($C$20&lt;25%,"N/A",IF(H4&lt;=($D$20+$B$20),H4,"Descartado"))))</f>
        <v>3471.6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2923.0920706220204</v>
      </c>
      <c r="C20" s="18">
        <f>IF(H23&lt;2,"N/A",(B20/D20))</f>
        <v>0.55188778898562962</v>
      </c>
      <c r="D20" s="19">
        <f>AVERAGE(H3:H17)</f>
        <v>5296.5333333333338</v>
      </c>
      <c r="E20" s="20">
        <f>IF(H23&lt;2,"N/A",(IF(C20&lt;=25%,"N/A",AVERAGE(I3:I17))))</f>
        <v>3610.8</v>
      </c>
      <c r="F20" s="19">
        <f>MEDIAN(H3:H17)</f>
        <v>3750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3610.8</v>
      </c>
      <c r="E22" s="78"/>
    </row>
    <row r="23" spans="1:9" x14ac:dyDescent="0.2">
      <c r="B23" s="77" t="s">
        <v>10</v>
      </c>
      <c r="C23" s="77"/>
      <c r="D23" s="78">
        <f>ROUND(D22,2)*F3</f>
        <v>3610.8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5" width="10.28515625" style="1" bestFit="1" customWidth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21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133</v>
      </c>
      <c r="C3" s="64"/>
      <c r="D3" s="65"/>
      <c r="E3" s="75" t="s">
        <v>9</v>
      </c>
      <c r="F3" s="76">
        <v>1</v>
      </c>
      <c r="G3" s="4" t="s">
        <v>215</v>
      </c>
      <c r="H3" s="5">
        <f>10513.32*2</f>
        <v>21026.639999999999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4756.3999999999996</v>
      </c>
      <c r="I4" s="5">
        <f t="shared" ref="I4:I17" si="0">IF(H4="","",(IF($C$20&lt;25%,"N/A",IF(H4&lt;=($D$20+$B$20),H4,"Descartado"))))</f>
        <v>4756.3999999999996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43">
        <v>10448</v>
      </c>
      <c r="I5" s="5">
        <f t="shared" si="0"/>
        <v>10448</v>
      </c>
    </row>
    <row r="6" spans="1:9" x14ac:dyDescent="0.2">
      <c r="A6" s="60"/>
      <c r="B6" s="66"/>
      <c r="C6" s="67"/>
      <c r="D6" s="68"/>
      <c r="E6" s="75"/>
      <c r="F6" s="75"/>
      <c r="G6" s="4"/>
      <c r="H6" s="43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/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8256.5392716642073</v>
      </c>
      <c r="C20" s="18">
        <f>IF(H23&lt;2,"N/A",(B20/D20))</f>
        <v>0.6836573781760783</v>
      </c>
      <c r="D20" s="19">
        <f>AVERAGE(H3:H17)</f>
        <v>12077.013333333334</v>
      </c>
      <c r="E20" s="20">
        <f>IF(H23&lt;2,"N/A",(IF(C20&lt;=25%,"N/A",AVERAGE(I3:I17))))</f>
        <v>7602.2</v>
      </c>
      <c r="F20" s="19">
        <f>MEDIAN(H3:H17)</f>
        <v>10448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7602.2</v>
      </c>
      <c r="E22" s="78"/>
    </row>
    <row r="23" spans="1:9" x14ac:dyDescent="0.2">
      <c r="B23" s="77" t="s">
        <v>10</v>
      </c>
      <c r="C23" s="77"/>
      <c r="D23" s="78">
        <f>ROUND(D22,2)*F3</f>
        <v>7602.2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42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60"/>
      <c r="B3" s="63" t="s">
        <v>134</v>
      </c>
      <c r="C3" s="64"/>
      <c r="D3" s="65"/>
      <c r="E3" s="75" t="s">
        <v>9</v>
      </c>
      <c r="F3" s="76">
        <v>1</v>
      </c>
      <c r="G3" s="4" t="s">
        <v>215</v>
      </c>
      <c r="H3" s="5">
        <f>1824*2</f>
        <v>3648</v>
      </c>
      <c r="I3" s="5">
        <f>IF(H3="","",(IF($C$20&lt;25%,"N/A",IF(H3&lt;=($D$20+$B$20),H3,"Descartado"))))</f>
        <v>3648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1339.8</v>
      </c>
      <c r="I4" s="5">
        <f t="shared" ref="I4:I17" si="0">IF(H4="","",(IF($C$20&lt;25%,"N/A",IF(H4&lt;=($D$20+$B$20),H4,"Descartado"))))</f>
        <v>1339.8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6648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2661.6027276811997</v>
      </c>
      <c r="C20" s="18">
        <f>IF(H23&lt;2,"N/A",(B20/D20))</f>
        <v>0.68622769238415915</v>
      </c>
      <c r="D20" s="19">
        <f>AVERAGE(H3:H17)</f>
        <v>3878.6</v>
      </c>
      <c r="E20" s="20">
        <f>IF(H23&lt;2,"N/A",(IF(C20&lt;=25%,"N/A",AVERAGE(I3:I17))))</f>
        <v>2493.9</v>
      </c>
      <c r="F20" s="19">
        <f>MEDIAN(H3:H17)</f>
        <v>3648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2493.9</v>
      </c>
      <c r="E22" s="78"/>
    </row>
    <row r="23" spans="1:9" x14ac:dyDescent="0.2">
      <c r="B23" s="77" t="s">
        <v>10</v>
      </c>
      <c r="C23" s="77"/>
      <c r="D23" s="78">
        <f>ROUND(D22,2)*F3</f>
        <v>2493.9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43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135</v>
      </c>
      <c r="C3" s="64"/>
      <c r="D3" s="65"/>
      <c r="E3" s="75" t="s">
        <v>9</v>
      </c>
      <c r="F3" s="76">
        <v>1</v>
      </c>
      <c r="G3" s="4" t="s">
        <v>215</v>
      </c>
      <c r="H3" s="5">
        <f>1963.2*2</f>
        <v>3926.4</v>
      </c>
      <c r="I3" s="5">
        <f>IF(H3="","",(IF($C$20&lt;25%,"N/A",IF(H3&lt;=($D$20+$B$20),H3,"Descartado"))))</f>
        <v>3926.4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981.6</v>
      </c>
      <c r="I4" s="5">
        <f t="shared" ref="I4:I17" si="0">IF(H4="","",(IF($C$20&lt;25%,"N/A",IF(H4&lt;=($D$20+$B$20),H4,"Descartado"))))</f>
        <v>981.6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2883.4193405284173</v>
      </c>
      <c r="C20" s="18">
        <f>IF(H23&lt;2,"N/A",(B20/D20))</f>
        <v>0.74212920569537155</v>
      </c>
      <c r="D20" s="19">
        <f>AVERAGE(H3:H17)</f>
        <v>3885.3333333333335</v>
      </c>
      <c r="E20" s="20">
        <f>IF(H23&lt;2,"N/A",(IF(C20&lt;=25%,"N/A",AVERAGE(I3:I17))))</f>
        <v>3885.3333333333335</v>
      </c>
      <c r="F20" s="19">
        <f>MEDIAN(H3:H17)</f>
        <v>3926.4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3885.3333333333335</v>
      </c>
      <c r="E22" s="78"/>
    </row>
    <row r="23" spans="1:9" x14ac:dyDescent="0.2">
      <c r="B23" s="77" t="s">
        <v>10</v>
      </c>
      <c r="C23" s="77"/>
      <c r="D23" s="78">
        <f>ROUND(D22,2)*F3</f>
        <v>3885.33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1.28515625" style="1" bestFit="1" customWidth="1"/>
    <col min="5" max="5" width="10.28515625" style="1" bestFit="1" customWidth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44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136</v>
      </c>
      <c r="C3" s="64"/>
      <c r="D3" s="65"/>
      <c r="E3" s="75" t="s">
        <v>9</v>
      </c>
      <c r="F3" s="76">
        <v>1</v>
      </c>
      <c r="G3" s="4" t="s">
        <v>215</v>
      </c>
      <c r="H3" s="5">
        <f>25776*2</f>
        <v>51552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7975.34</v>
      </c>
      <c r="I4" s="5">
        <f t="shared" ref="I4:I17" si="0">IF(H4="","",(IF($C$20&lt;25%,"N/A",IF(H4&lt;=($D$20+$B$20),H4,"Descartado"))))</f>
        <v>7975.34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11664</v>
      </c>
      <c r="I5" s="5">
        <f t="shared" si="0"/>
        <v>11664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24164.657571721007</v>
      </c>
      <c r="C20" s="18">
        <f>IF(H23&lt;2,"N/A",(B20/D20))</f>
        <v>1.0182976288290546</v>
      </c>
      <c r="D20" s="19">
        <f>AVERAGE(H3:H17)</f>
        <v>23730.446666666667</v>
      </c>
      <c r="E20" s="20">
        <f>IF(H23&lt;2,"N/A",(IF(C20&lt;=25%,"N/A",AVERAGE(I3:I17))))</f>
        <v>9819.67</v>
      </c>
      <c r="F20" s="19">
        <f>MEDIAN(H3:H17)</f>
        <v>11664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9819.67</v>
      </c>
      <c r="E22" s="78"/>
    </row>
    <row r="23" spans="1:9" x14ac:dyDescent="0.2">
      <c r="B23" s="77" t="s">
        <v>10</v>
      </c>
      <c r="C23" s="77"/>
      <c r="D23" s="78">
        <f>ROUND(D22,2)*F3</f>
        <v>9819.67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5" width="10.28515625" style="1" bestFit="1" customWidth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45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137</v>
      </c>
      <c r="C3" s="64"/>
      <c r="D3" s="65"/>
      <c r="E3" s="75" t="s">
        <v>9</v>
      </c>
      <c r="F3" s="76">
        <v>1</v>
      </c>
      <c r="G3" s="4" t="s">
        <v>215</v>
      </c>
      <c r="H3" s="5">
        <f>11706.24*2</f>
        <v>23412.48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2547.04</v>
      </c>
      <c r="I4" s="5">
        <f t="shared" ref="I4:I17" si="0">IF(H4="","",(IF($C$20&lt;25%,"N/A",IF(H4&lt;=($D$20+$B$20),H4,"Descartado"))))</f>
        <v>2547.04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10448</v>
      </c>
      <c r="I5" s="5">
        <f t="shared" si="0"/>
        <v>10448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10534.621469117907</v>
      </c>
      <c r="C20" s="18">
        <f>IF(H23&lt;2,"N/A",(B20/D20))</f>
        <v>0.86805869796552237</v>
      </c>
      <c r="D20" s="19">
        <f>AVERAGE(H3:H17)</f>
        <v>12135.840000000002</v>
      </c>
      <c r="E20" s="20">
        <f>IF(H23&lt;2,"N/A",(IF(C20&lt;=25%,"N/A",AVERAGE(I3:I17))))</f>
        <v>6497.52</v>
      </c>
      <c r="F20" s="19">
        <f>MEDIAN(H3:H17)</f>
        <v>10448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6497.52</v>
      </c>
      <c r="E22" s="78"/>
    </row>
    <row r="23" spans="1:9" x14ac:dyDescent="0.2">
      <c r="B23" s="77" t="s">
        <v>10</v>
      </c>
      <c r="C23" s="77"/>
      <c r="D23" s="78">
        <f>ROUND(D22,2)*F3</f>
        <v>6497.52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46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138</v>
      </c>
      <c r="C3" s="64"/>
      <c r="D3" s="65"/>
      <c r="E3" s="75" t="s">
        <v>9</v>
      </c>
      <c r="F3" s="76">
        <v>1</v>
      </c>
      <c r="G3" s="4" t="s">
        <v>215</v>
      </c>
      <c r="H3" s="5">
        <f>2*900</f>
        <v>1800</v>
      </c>
      <c r="I3" s="5">
        <f>IF(H3="","",(IF($C$20&lt;25%,"N/A",IF(H3&lt;=($D$20+$B$20),H3,"Descartado"))))</f>
        <v>1800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300</v>
      </c>
      <c r="I4" s="5">
        <f t="shared" ref="I4:I17" si="0">IF(H4="","",(IF($C$20&lt;25%,"N/A",IF(H4&lt;=($D$20+$B$20),H4,"Descartado"))))</f>
        <v>300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4461.7419617603764</v>
      </c>
      <c r="C20" s="18">
        <f>IF(H23&lt;2,"N/A",(B20/D20))</f>
        <v>1.2430558957356175</v>
      </c>
      <c r="D20" s="19">
        <f>AVERAGE(H3:H17)</f>
        <v>3589.3333333333335</v>
      </c>
      <c r="E20" s="20">
        <f>IF(H23&lt;2,"N/A",(IF(C20&lt;=25%,"N/A",AVERAGE(I3:I17))))</f>
        <v>1050</v>
      </c>
      <c r="F20" s="19">
        <f>MEDIAN(H3:H17)</f>
        <v>1800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1050</v>
      </c>
      <c r="E22" s="78"/>
    </row>
    <row r="23" spans="1:9" x14ac:dyDescent="0.2">
      <c r="B23" s="77" t="s">
        <v>10</v>
      </c>
      <c r="C23" s="77"/>
      <c r="D23" s="78">
        <f>ROUND(D22,2)*F3</f>
        <v>1050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47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139</v>
      </c>
      <c r="C3" s="64"/>
      <c r="D3" s="65"/>
      <c r="E3" s="75" t="s">
        <v>9</v>
      </c>
      <c r="F3" s="76">
        <v>1</v>
      </c>
      <c r="G3" s="4" t="s">
        <v>215</v>
      </c>
      <c r="H3" s="5">
        <f>45086.4*2</f>
        <v>90172.800000000003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9724.4</v>
      </c>
      <c r="I4" s="5">
        <f t="shared" ref="I4:I17" si="0">IF(H4="","",(IF($C$20&lt;25%,"N/A",IF(H4&lt;=($D$20+$B$20),H4,"Descartado"))))</f>
        <v>9724.4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18604</v>
      </c>
      <c r="I5" s="5">
        <f t="shared" si="0"/>
        <v>18604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44107.606094187431</v>
      </c>
      <c r="C20" s="18">
        <f>IF(H23&lt;2,"N/A",(B20/D20))</f>
        <v>1.1166369478331215</v>
      </c>
      <c r="D20" s="19">
        <f>AVERAGE(H3:H17)</f>
        <v>39500.400000000001</v>
      </c>
      <c r="E20" s="20">
        <f>IF(H23&lt;2,"N/A",(IF(C20&lt;=25%,"N/A",AVERAGE(I3:I17))))</f>
        <v>14164.2</v>
      </c>
      <c r="F20" s="19">
        <f>MEDIAN(H3:H17)</f>
        <v>18604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14164.2</v>
      </c>
      <c r="E22" s="78"/>
    </row>
    <row r="23" spans="1:9" x14ac:dyDescent="0.2">
      <c r="B23" s="77" t="s">
        <v>10</v>
      </c>
      <c r="C23" s="77"/>
      <c r="D23" s="78">
        <f>ROUND(D22,2)*F3</f>
        <v>14164.2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8" width="11.28515625" style="1" bestFit="1" customWidth="1"/>
    <col min="9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48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140</v>
      </c>
      <c r="C3" s="64"/>
      <c r="D3" s="65"/>
      <c r="E3" s="75" t="s">
        <v>9</v>
      </c>
      <c r="F3" s="76">
        <v>1</v>
      </c>
      <c r="G3" s="4" t="s">
        <v>215</v>
      </c>
      <c r="H3" s="5">
        <f>5400*2</f>
        <v>10800</v>
      </c>
      <c r="I3" s="5">
        <f>IF(H3="","",(IF($C$20&lt;25%,"N/A",IF(H3&lt;=($D$20+$B$20),H3,"Descartado"))))</f>
        <v>10800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1545</v>
      </c>
      <c r="I4" s="5">
        <f t="shared" ref="I4:I17" si="0">IF(H4="","",(IF($C$20&lt;25%,"N/A",IF(H4&lt;=($D$20+$B$20),H4,"Descartado"))))</f>
        <v>1545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4846.6066823431556</v>
      </c>
      <c r="C20" s="18">
        <f>IF(H23&lt;2,"N/A",(B20/D20))</f>
        <v>0.69194403688333261</v>
      </c>
      <c r="D20" s="19">
        <f>AVERAGE(H3:H17)</f>
        <v>7004.333333333333</v>
      </c>
      <c r="E20" s="20">
        <f>IF(H23&lt;2,"N/A",(IF(C20&lt;=25%,"N/A",AVERAGE(I3:I17))))</f>
        <v>7004.333333333333</v>
      </c>
      <c r="F20" s="19">
        <f>MEDIAN(H3:H17)</f>
        <v>8668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7004.333333333333</v>
      </c>
      <c r="E22" s="78"/>
    </row>
    <row r="23" spans="1:9" x14ac:dyDescent="0.2">
      <c r="B23" s="77" t="s">
        <v>10</v>
      </c>
      <c r="C23" s="77"/>
      <c r="D23" s="78">
        <f>ROUND(D22,2)*F3</f>
        <v>7004.33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124</v>
      </c>
      <c r="C3" s="64"/>
      <c r="D3" s="65"/>
      <c r="E3" s="75" t="s">
        <v>9</v>
      </c>
      <c r="F3" s="76">
        <v>1</v>
      </c>
      <c r="G3" s="4" t="s">
        <v>215</v>
      </c>
      <c r="H3" s="5">
        <f>2646.24*2</f>
        <v>5292.48</v>
      </c>
      <c r="I3" s="5">
        <f>IF(H3="","",(IF($C$20&lt;25%,"N/A",IF(H3&lt;=($D$20+$B$20),H3,"Descartado"))))</f>
        <v>5292.48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1942.6</v>
      </c>
      <c r="I4" s="5">
        <f t="shared" ref="I4:I17" si="0">IF(H4="","",(IF($C$20&lt;25%,"N/A",IF(H4&lt;=($D$20+$B$20),H4,"Descartado"))))</f>
        <v>1942.6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7748</v>
      </c>
      <c r="I5" s="5">
        <f t="shared" si="0"/>
        <v>7748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2914.1592167896379</v>
      </c>
      <c r="C20" s="18">
        <f>IF(H23&lt;2,"N/A",(B20/D20))</f>
        <v>0.58349002010060114</v>
      </c>
      <c r="D20" s="19">
        <f>AVERAGE(H3:H17)</f>
        <v>4994.3599999999997</v>
      </c>
      <c r="E20" s="20">
        <f>IF(H23&lt;2,"N/A",(IF(C20&lt;=25%,"N/A",AVERAGE(I3:I17))))</f>
        <v>4994.3599999999997</v>
      </c>
      <c r="F20" s="19">
        <f>MEDIAN(H3:H17)</f>
        <v>5292.48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4994.3599999999997</v>
      </c>
      <c r="E22" s="78"/>
    </row>
    <row r="23" spans="1:9" x14ac:dyDescent="0.2">
      <c r="B23" s="77" t="s">
        <v>10</v>
      </c>
      <c r="C23" s="77"/>
      <c r="D23" s="78">
        <f>ROUND(D22,2)*F3</f>
        <v>4994.3599999999997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49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141</v>
      </c>
      <c r="C3" s="64"/>
      <c r="D3" s="65"/>
      <c r="E3" s="75" t="s">
        <v>9</v>
      </c>
      <c r="F3" s="76">
        <v>1</v>
      </c>
      <c r="G3" s="4" t="s">
        <v>215</v>
      </c>
      <c r="H3" s="5">
        <f>2592*2</f>
        <v>5184</v>
      </c>
      <c r="I3" s="5">
        <f>IF(H3="","",(IF($C$20&lt;25%,"N/A",IF(H3&lt;=($D$20+$B$20),H3,"Descartado"))))</f>
        <v>5184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600</v>
      </c>
      <c r="I4" s="5">
        <f t="shared" ref="I4:I17" si="0">IF(H4="","",(IF($C$20&lt;25%,"N/A",IF(H4&lt;=($D$20+$B$20),H4,"Descartado"))))</f>
        <v>600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4046.4786337423475</v>
      </c>
      <c r="C20" s="18">
        <f>IF(H23&lt;2,"N/A",(B20/D20))</f>
        <v>0.83998310968911172</v>
      </c>
      <c r="D20" s="19">
        <f>AVERAGE(H3:H17)</f>
        <v>4817.333333333333</v>
      </c>
      <c r="E20" s="20">
        <f>IF(H23&lt;2,"N/A",(IF(C20&lt;=25%,"N/A",AVERAGE(I3:I17))))</f>
        <v>4817.333333333333</v>
      </c>
      <c r="F20" s="19">
        <f>MEDIAN(H3:H17)</f>
        <v>5184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4817.333333333333</v>
      </c>
      <c r="E22" s="78"/>
    </row>
    <row r="23" spans="1:9" x14ac:dyDescent="0.2">
      <c r="B23" s="77" t="s">
        <v>10</v>
      </c>
      <c r="C23" s="77"/>
      <c r="D23" s="78">
        <f>ROUND(D22,2)*F3</f>
        <v>4817.33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50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142</v>
      </c>
      <c r="C3" s="64"/>
      <c r="D3" s="65"/>
      <c r="E3" s="75" t="s">
        <v>9</v>
      </c>
      <c r="F3" s="76">
        <v>1</v>
      </c>
      <c r="G3" s="4" t="s">
        <v>215</v>
      </c>
      <c r="H3" s="5">
        <f>1956*2</f>
        <v>3912</v>
      </c>
      <c r="I3" s="5">
        <f>IF(H3="","",(IF($C$20&lt;25%,"N/A",IF(H3&lt;=($D$20+$B$20),H3,"Descartado"))))</f>
        <v>3912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654</v>
      </c>
      <c r="I4" s="5">
        <f t="shared" ref="I4:I17" si="0">IF(H4="","",(IF($C$20&lt;25%,"N/A",IF(H4&lt;=($D$20+$B$20),H4,"Descartado"))))</f>
        <v>654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3049.4342644715812</v>
      </c>
      <c r="C20" s="18">
        <f>IF(H23&lt;2,"N/A",(B20/D20))</f>
        <v>0.8085825343304528</v>
      </c>
      <c r="D20" s="19">
        <f>AVERAGE(H3:H17)</f>
        <v>3771.3333333333335</v>
      </c>
      <c r="E20" s="20">
        <f>IF(H23&lt;2,"N/A",(IF(C20&lt;=25%,"N/A",AVERAGE(I3:I17))))</f>
        <v>3771.3333333333335</v>
      </c>
      <c r="F20" s="19">
        <f>MEDIAN(H3:H17)</f>
        <v>3912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3771.3333333333335</v>
      </c>
      <c r="E22" s="78"/>
    </row>
    <row r="23" spans="1:9" x14ac:dyDescent="0.2">
      <c r="B23" s="77" t="s">
        <v>10</v>
      </c>
      <c r="C23" s="77"/>
      <c r="D23" s="78">
        <f>ROUND(D22,2)*F3</f>
        <v>3771.33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51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143</v>
      </c>
      <c r="C3" s="64"/>
      <c r="D3" s="65"/>
      <c r="E3" s="75" t="s">
        <v>9</v>
      </c>
      <c r="F3" s="76">
        <v>1</v>
      </c>
      <c r="G3" s="4" t="s">
        <v>215</v>
      </c>
      <c r="H3" s="5">
        <f>1680*2</f>
        <v>3360</v>
      </c>
      <c r="I3" s="5">
        <f>IF(H3="","",(IF($C$20&lt;25%,"N/A",IF(H3&lt;=($D$20+$B$20),H3,"Descartado"))))</f>
        <v>3360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560</v>
      </c>
      <c r="I4" s="5">
        <f t="shared" ref="I4:I17" si="0">IF(H4="","",(IF($C$20&lt;25%,"N/A",IF(H4&lt;=($D$20+$B$20),H4,"Descartado"))))</f>
        <v>560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3098.6526104098857</v>
      </c>
      <c r="C20" s="18">
        <f>IF(H23&lt;2,"N/A",(B20/D20))</f>
        <v>0.87138712328736945</v>
      </c>
      <c r="D20" s="19">
        <f>AVERAGE(H3:H17)</f>
        <v>3556</v>
      </c>
      <c r="E20" s="20">
        <f>IF(H23&lt;2,"N/A",(IF(C20&lt;=25%,"N/A",AVERAGE(I3:I17))))</f>
        <v>1960</v>
      </c>
      <c r="F20" s="19">
        <f>MEDIAN(H3:H17)</f>
        <v>3360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1960</v>
      </c>
      <c r="E22" s="78"/>
    </row>
    <row r="23" spans="1:9" x14ac:dyDescent="0.2">
      <c r="B23" s="77" t="s">
        <v>10</v>
      </c>
      <c r="C23" s="77"/>
      <c r="D23" s="78">
        <f>ROUND(D22,2)*F3</f>
        <v>1960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144</v>
      </c>
      <c r="C3" s="64"/>
      <c r="D3" s="65"/>
      <c r="E3" s="75" t="s">
        <v>9</v>
      </c>
      <c r="F3" s="76">
        <v>1</v>
      </c>
      <c r="G3" s="4" t="s">
        <v>215</v>
      </c>
      <c r="H3" s="5">
        <f>2358*2</f>
        <v>4716</v>
      </c>
      <c r="I3" s="5">
        <f>IF(H3="","",(IF($C$20&lt;25%,"N/A",IF(H3&lt;=($D$20+$B$20),H3,"Descartado"))))</f>
        <v>4716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1001.94</v>
      </c>
      <c r="I4" s="5">
        <f t="shared" ref="I4:I17" si="0">IF(H4="","",(IF($C$20&lt;25%,"N/A",IF(H4&lt;=($D$20+$B$20),H4,"Descartado"))))</f>
        <v>1001.94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2913.773933326559</v>
      </c>
      <c r="C20" s="18">
        <f>IF(H23&lt;2,"N/A",(B20/D20))</f>
        <v>0.70121641849549066</v>
      </c>
      <c r="D20" s="19">
        <f>AVERAGE(H3:H17)</f>
        <v>4155.3133333333335</v>
      </c>
      <c r="E20" s="20">
        <f>IF(H23&lt;2,"N/A",(IF(C20&lt;=25%,"N/A",AVERAGE(I3:I17))))</f>
        <v>4155.3133333333335</v>
      </c>
      <c r="F20" s="19">
        <f>MEDIAN(H3:H17)</f>
        <v>4716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4155.3133333333335</v>
      </c>
      <c r="E22" s="78"/>
    </row>
    <row r="23" spans="1:9" x14ac:dyDescent="0.2">
      <c r="B23" s="77" t="s">
        <v>10</v>
      </c>
      <c r="C23" s="77"/>
      <c r="D23" s="78">
        <f>ROUND(D22,2)*F3</f>
        <v>4155.3100000000004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53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145</v>
      </c>
      <c r="C3" s="64"/>
      <c r="D3" s="65"/>
      <c r="E3" s="75" t="s">
        <v>9</v>
      </c>
      <c r="F3" s="76">
        <v>1</v>
      </c>
      <c r="G3" s="4" t="s">
        <v>215</v>
      </c>
      <c r="H3" s="5">
        <f>3600*2</f>
        <v>7200</v>
      </c>
      <c r="I3" s="5">
        <f>IF(H3="","",(IF($C$20&lt;25%,"N/A",IF(H3&lt;=($D$20+$B$20),H3,"Descartado"))))</f>
        <v>7200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821.2</v>
      </c>
      <c r="I4" s="5">
        <f t="shared" ref="I4:I17" si="0">IF(H4="","",(IF($C$20&lt;25%,"N/A",IF(H4&lt;=($D$20+$B$20),H4,"Descartado"))))</f>
        <v>821.2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4171.65801730359</v>
      </c>
      <c r="C20" s="18">
        <f>IF(H23&lt;2,"N/A",(B20/D20))</f>
        <v>0.74988459913661354</v>
      </c>
      <c r="D20" s="19">
        <f>AVERAGE(H3:H17)</f>
        <v>5563.0666666666666</v>
      </c>
      <c r="E20" s="20">
        <f>IF(H23&lt;2,"N/A",(IF(C20&lt;=25%,"N/A",AVERAGE(I3:I17))))</f>
        <v>5563.0666666666666</v>
      </c>
      <c r="F20" s="19">
        <f>MEDIAN(H3:H17)</f>
        <v>7200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5563.0666666666666</v>
      </c>
      <c r="E22" s="78"/>
    </row>
    <row r="23" spans="1:9" x14ac:dyDescent="0.2">
      <c r="B23" s="77" t="s">
        <v>10</v>
      </c>
      <c r="C23" s="77"/>
      <c r="D23" s="78">
        <f>ROUND(D22,2)*F3</f>
        <v>5563.07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54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60"/>
      <c r="B3" s="63" t="s">
        <v>146</v>
      </c>
      <c r="C3" s="64"/>
      <c r="D3" s="65"/>
      <c r="E3" s="75" t="s">
        <v>9</v>
      </c>
      <c r="F3" s="76">
        <v>1</v>
      </c>
      <c r="G3" s="4" t="s">
        <v>215</v>
      </c>
      <c r="H3" s="5">
        <f>4296*2</f>
        <v>8592</v>
      </c>
      <c r="I3" s="5">
        <f>IF(H3="","",(IF($C$20&lt;25%,"N/A",IF(H3&lt;=($D$20+$B$20),H3,"Descartado"))))</f>
        <v>8592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1332</v>
      </c>
      <c r="I4" s="5">
        <f t="shared" ref="I4:I17" si="0">IF(H4="","",(IF($C$20&lt;25%,"N/A",IF(H4&lt;=($D$20+$B$20),H4,"Descartado"))))</f>
        <v>1332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4213.6736149508943</v>
      </c>
      <c r="C20" s="18">
        <f>IF(H23&lt;2,"N/A",(B20/D20))</f>
        <v>0.67991721411643091</v>
      </c>
      <c r="D20" s="19">
        <f>AVERAGE(H3:H17)</f>
        <v>6197.333333333333</v>
      </c>
      <c r="E20" s="20">
        <f>IF(H23&lt;2,"N/A",(IF(C20&lt;=25%,"N/A",AVERAGE(I3:I17))))</f>
        <v>6197.333333333333</v>
      </c>
      <c r="F20" s="19">
        <f>MEDIAN(H3:H17)</f>
        <v>8592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6197.333333333333</v>
      </c>
      <c r="E22" s="78"/>
    </row>
    <row r="23" spans="1:9" x14ac:dyDescent="0.2">
      <c r="B23" s="77" t="s">
        <v>10</v>
      </c>
      <c r="C23" s="77"/>
      <c r="D23" s="78">
        <f>ROUND(D22,2)*F3</f>
        <v>6197.33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5" width="10.28515625" style="1" bestFit="1" customWidth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147</v>
      </c>
      <c r="C3" s="64"/>
      <c r="D3" s="65"/>
      <c r="E3" s="75" t="s">
        <v>9</v>
      </c>
      <c r="F3" s="76">
        <v>1</v>
      </c>
      <c r="G3" s="4" t="s">
        <v>215</v>
      </c>
      <c r="H3" s="5">
        <f>11520*2</f>
        <v>23040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3841.2</v>
      </c>
      <c r="I4" s="5">
        <f t="shared" ref="I4:I17" si="0">IF(H4="","",(IF($C$20&lt;25%,"N/A",IF(H4&lt;=($D$20+$B$20),H4,"Descartado"))))</f>
        <v>3841.2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43">
        <v>10448</v>
      </c>
      <c r="I5" s="5">
        <f t="shared" si="0"/>
        <v>10448</v>
      </c>
    </row>
    <row r="6" spans="1:9" x14ac:dyDescent="0.2">
      <c r="A6" s="60"/>
      <c r="B6" s="66"/>
      <c r="C6" s="67"/>
      <c r="D6" s="68"/>
      <c r="E6" s="75"/>
      <c r="F6" s="75"/>
      <c r="G6" s="4"/>
      <c r="H6" s="43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9753.6505275375421</v>
      </c>
      <c r="C20" s="18">
        <f>IF(H23&lt;2,"N/A",(B20/D20))</f>
        <v>0.78386227357169802</v>
      </c>
      <c r="D20" s="19">
        <f>AVERAGE(H3:H17)</f>
        <v>12443.066666666666</v>
      </c>
      <c r="E20" s="20">
        <f>IF(H23&lt;2,"N/A",(IF(C20&lt;=25%,"N/A",AVERAGE(I3:I17))))</f>
        <v>7144.6</v>
      </c>
      <c r="F20" s="19">
        <f>MEDIAN(H3:H17)</f>
        <v>10448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7144.6</v>
      </c>
      <c r="E22" s="78"/>
    </row>
    <row r="23" spans="1:9" x14ac:dyDescent="0.2">
      <c r="B23" s="77" t="s">
        <v>10</v>
      </c>
      <c r="C23" s="77"/>
      <c r="D23" s="78">
        <f>ROUND(D22,2)*F3</f>
        <v>7144.6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56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148</v>
      </c>
      <c r="C3" s="64"/>
      <c r="D3" s="65"/>
      <c r="E3" s="75" t="s">
        <v>9</v>
      </c>
      <c r="F3" s="76">
        <v>1</v>
      </c>
      <c r="G3" s="4" t="s">
        <v>215</v>
      </c>
      <c r="H3" s="5">
        <f>394.8*2</f>
        <v>789.6</v>
      </c>
      <c r="I3" s="5">
        <f>IF(H3="","",(IF($C$20&lt;25%,"N/A",IF(H3&lt;=($D$20+$B$20),H3,"Descartado"))))</f>
        <v>789.6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480.26</v>
      </c>
      <c r="I4" s="5">
        <f t="shared" ref="I4:I17" si="0">IF(H4="","",(IF($C$20&lt;25%,"N/A",IF(H4&lt;=($D$20+$B$20),H4,"Descartado"))))</f>
        <v>480.26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2785.4342457146599</v>
      </c>
      <c r="C20" s="18">
        <f>IF(H23&lt;2,"N/A",(B20/D20))</f>
        <v>1.2431533440363201</v>
      </c>
      <c r="D20" s="19">
        <f>AVERAGE(H3:H17)</f>
        <v>2240.6200000000003</v>
      </c>
      <c r="E20" s="20">
        <f>IF(H23&lt;2,"N/A",(IF(C20&lt;=25%,"N/A",AVERAGE(I3:I17))))</f>
        <v>634.93000000000006</v>
      </c>
      <c r="F20" s="19">
        <f>MEDIAN(H3:H17)</f>
        <v>789.6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634.93000000000006</v>
      </c>
      <c r="E22" s="78"/>
    </row>
    <row r="23" spans="1:9" x14ac:dyDescent="0.2">
      <c r="B23" s="77" t="s">
        <v>10</v>
      </c>
      <c r="C23" s="77"/>
      <c r="D23" s="78">
        <f>ROUND(D22,2)*F3</f>
        <v>634.92999999999995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57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149</v>
      </c>
      <c r="C3" s="64"/>
      <c r="D3" s="65"/>
      <c r="E3" s="75" t="s">
        <v>9</v>
      </c>
      <c r="F3" s="76">
        <v>1</v>
      </c>
      <c r="G3" s="4" t="s">
        <v>215</v>
      </c>
      <c r="H3" s="5">
        <f>1819.2*2</f>
        <v>3638.4</v>
      </c>
      <c r="I3" s="5">
        <f>IF(H3="","",(IF($C$20&lt;25%,"N/A",IF(H3&lt;=($D$20+$B$20),H3,"Descartado"))))</f>
        <v>3638.4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1271.3599999999999</v>
      </c>
      <c r="I4" s="5">
        <f t="shared" ref="I4:I17" si="0">IF(H4="","",(IF($C$20&lt;25%,"N/A",IF(H4&lt;=($D$20+$B$20),H4,"Descartado"))))</f>
        <v>1271.3599999999999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2746.6972958809997</v>
      </c>
      <c r="C20" s="18">
        <f>IF(H23&lt;2,"N/A",(B20/D20))</f>
        <v>0.70683320703488484</v>
      </c>
      <c r="D20" s="19">
        <f>AVERAGE(H3:H17)</f>
        <v>3885.92</v>
      </c>
      <c r="E20" s="20">
        <f>IF(H23&lt;2,"N/A",(IF(C20&lt;=25%,"N/A",AVERAGE(I3:I17))))</f>
        <v>2454.88</v>
      </c>
      <c r="F20" s="19">
        <f>MEDIAN(H3:H17)</f>
        <v>3638.4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2454.88</v>
      </c>
      <c r="E22" s="78"/>
    </row>
    <row r="23" spans="1:9" x14ac:dyDescent="0.2">
      <c r="B23" s="77" t="s">
        <v>10</v>
      </c>
      <c r="C23" s="77"/>
      <c r="D23" s="78">
        <f>ROUND(D22,2)*F3</f>
        <v>2454.88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58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150</v>
      </c>
      <c r="C3" s="64"/>
      <c r="D3" s="65"/>
      <c r="E3" s="75" t="s">
        <v>9</v>
      </c>
      <c r="F3" s="76">
        <v>1</v>
      </c>
      <c r="G3" s="4" t="s">
        <v>215</v>
      </c>
      <c r="H3" s="5">
        <f>24000*2</f>
        <v>48000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5486.9</v>
      </c>
      <c r="I4" s="5">
        <f t="shared" ref="I4:I17" si="0">IF(H4="","",(IF($C$20&lt;25%,"N/A",IF(H4&lt;=($D$20+$B$20),H4,"Descartado"))))</f>
        <v>5486.9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23680.122792544807</v>
      </c>
      <c r="C20" s="18">
        <f>IF(H23&lt;2,"N/A",(B20/D20))</f>
        <v>1.142956844555046</v>
      </c>
      <c r="D20" s="19">
        <f>AVERAGE(H3:H17)</f>
        <v>20718.3</v>
      </c>
      <c r="E20" s="20">
        <f>IF(H23&lt;2,"N/A",(IF(C20&lt;=25%,"N/A",AVERAGE(I3:I17))))</f>
        <v>7077.45</v>
      </c>
      <c r="F20" s="19">
        <f>MEDIAN(H3:H17)</f>
        <v>8668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7077.45</v>
      </c>
      <c r="E22" s="78"/>
    </row>
    <row r="23" spans="1:9" x14ac:dyDescent="0.2">
      <c r="B23" s="77" t="s">
        <v>10</v>
      </c>
      <c r="C23" s="77"/>
      <c r="D23" s="78">
        <f>ROUND(D22,2)*F3</f>
        <v>7077.45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12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125</v>
      </c>
      <c r="C3" s="64"/>
      <c r="D3" s="65"/>
      <c r="E3" s="75" t="s">
        <v>9</v>
      </c>
      <c r="F3" s="76">
        <v>1</v>
      </c>
      <c r="G3" s="4" t="s">
        <v>215</v>
      </c>
      <c r="H3" s="5">
        <f>2184*2</f>
        <v>4368</v>
      </c>
      <c r="I3" s="5">
        <f>IF(H3="","",(IF($C$20&lt;25%,"N/A",IF(H3&lt;=($D$20+$B$20),H3,"Descartado"))))</f>
        <v>4368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1108.8</v>
      </c>
      <c r="I4" s="5">
        <f t="shared" ref="I4:I17" si="0">IF(H4="","",(IF($C$20&lt;25%,"N/A",IF(H4&lt;=($D$20+$B$20),H4,"Descartado"))))</f>
        <v>1108.8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6648</v>
      </c>
      <c r="I5" s="5">
        <f t="shared" si="0"/>
        <v>6648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2783.9875861792198</v>
      </c>
      <c r="C20" s="18">
        <f>IF(H23&lt;2,"N/A",(B20/D20))</f>
        <v>0.68883303300158849</v>
      </c>
      <c r="D20" s="19">
        <f>AVERAGE(H3:H17)</f>
        <v>4041.6</v>
      </c>
      <c r="E20" s="20">
        <f>IF(H23&lt;2,"N/A",(IF(C20&lt;=25%,"N/A",AVERAGE(I3:I17))))</f>
        <v>4041.6</v>
      </c>
      <c r="F20" s="19">
        <f>MEDIAN(H3:H17)</f>
        <v>4368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4041.6</v>
      </c>
      <c r="E22" s="78"/>
    </row>
    <row r="23" spans="1:9" x14ac:dyDescent="0.2">
      <c r="B23" s="77" t="s">
        <v>10</v>
      </c>
      <c r="C23" s="77"/>
      <c r="D23" s="78">
        <f>ROUND(D22,2)*F3</f>
        <v>4041.6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59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151</v>
      </c>
      <c r="C3" s="64"/>
      <c r="D3" s="65"/>
      <c r="E3" s="75" t="s">
        <v>9</v>
      </c>
      <c r="F3" s="76">
        <v>1</v>
      </c>
      <c r="G3" s="4" t="s">
        <v>215</v>
      </c>
      <c r="H3" s="5">
        <f>3744*2</f>
        <v>7488</v>
      </c>
      <c r="I3" s="5">
        <f>IF(H3="","",(IF($C$20&lt;25%,"N/A",IF(H3&lt;=($D$20+$B$20),H3,"Descartado"))))</f>
        <v>7488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1248</v>
      </c>
      <c r="I4" s="5">
        <f t="shared" ref="I4:I17" si="0">IF(H4="","",(IF($C$20&lt;25%,"N/A",IF(H4&lt;=($D$20+$B$20),H4,"Descartado"))))</f>
        <v>1248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3409.1836755055215</v>
      </c>
      <c r="C20" s="18">
        <f>IF(H23&lt;2,"N/A",(B20/D20))</f>
        <v>0.66052383276392179</v>
      </c>
      <c r="D20" s="19">
        <f>AVERAGE(H3:H17)</f>
        <v>5161.333333333333</v>
      </c>
      <c r="E20" s="20">
        <f>IF(H23&lt;2,"N/A",(IF(C20&lt;=25%,"N/A",AVERAGE(I3:I17))))</f>
        <v>5161.333333333333</v>
      </c>
      <c r="F20" s="19">
        <f>MEDIAN(H3:H17)</f>
        <v>6748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5161.333333333333</v>
      </c>
      <c r="E22" s="78"/>
    </row>
    <row r="23" spans="1:9" x14ac:dyDescent="0.2">
      <c r="B23" s="77" t="s">
        <v>10</v>
      </c>
      <c r="C23" s="77"/>
      <c r="D23" s="78">
        <f>ROUND(D22,2)*F3</f>
        <v>5161.33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18" sqref="B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60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234</v>
      </c>
      <c r="C3" s="64"/>
      <c r="D3" s="65"/>
      <c r="E3" s="75" t="s">
        <v>9</v>
      </c>
      <c r="F3" s="76">
        <v>1</v>
      </c>
      <c r="G3" s="4" t="s">
        <v>215</v>
      </c>
      <c r="H3" s="5">
        <f>3600*2</f>
        <v>7200</v>
      </c>
      <c r="I3" s="5">
        <f>IF(H3="","",(IF($C$20&lt;25%,"N/A",IF(H3&lt;=($D$20+$B$20),H3,"Descartado"))))</f>
        <v>7200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1200</v>
      </c>
      <c r="I4" s="5">
        <f t="shared" ref="I4:I17" si="0">IF(H4="","",(IF($C$20&lt;25%,"N/A",IF(H4&lt;=($D$20+$B$20),H4,"Descartado"))))</f>
        <v>1200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3341.2724123203925</v>
      </c>
      <c r="C20" s="18">
        <f>IF(H23&lt;2,"N/A",(B20/D20))</f>
        <v>0.66172545794568116</v>
      </c>
      <c r="D20" s="19">
        <f>AVERAGE(H3:H17)</f>
        <v>5049.333333333333</v>
      </c>
      <c r="E20" s="20">
        <f>IF(H23&lt;2,"N/A",(IF(C20&lt;=25%,"N/A",AVERAGE(I3:I17))))</f>
        <v>5049.333333333333</v>
      </c>
      <c r="F20" s="19">
        <f>MEDIAN(H3:H17)</f>
        <v>6748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5049.333333333333</v>
      </c>
      <c r="E22" s="78"/>
    </row>
    <row r="23" spans="1:9" x14ac:dyDescent="0.2">
      <c r="B23" s="77" t="s">
        <v>10</v>
      </c>
      <c r="C23" s="77"/>
      <c r="D23" s="78">
        <f>ROUND(D22,2)*F3</f>
        <v>5049.33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61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152</v>
      </c>
      <c r="C3" s="64"/>
      <c r="D3" s="65"/>
      <c r="E3" s="75" t="s">
        <v>9</v>
      </c>
      <c r="F3" s="76">
        <v>1</v>
      </c>
      <c r="G3" s="4" t="s">
        <v>215</v>
      </c>
      <c r="H3" s="5">
        <f>1860*2</f>
        <v>3720</v>
      </c>
      <c r="I3" s="5">
        <f>IF(H3="","",(IF($C$20&lt;25%,"N/A",IF(H3&lt;=($D$20+$B$20),H3,"Descartado"))))</f>
        <v>3720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1550</v>
      </c>
      <c r="I4" s="5">
        <f t="shared" ref="I4:I17" si="0">IF(H4="","",(IF($C$20&lt;25%,"N/A",IF(H4&lt;=($D$20+$B$20),H4,"Descartado"))))</f>
        <v>1550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2610.7753637569049</v>
      </c>
      <c r="C20" s="18">
        <f>IF(H23&lt;2,"N/A",(B20/D20))</f>
        <v>0.65171626653941706</v>
      </c>
      <c r="D20" s="19">
        <f>AVERAGE(H3:H17)</f>
        <v>4006</v>
      </c>
      <c r="E20" s="20">
        <f>IF(H23&lt;2,"N/A",(IF(C20&lt;=25%,"N/A",AVERAGE(I3:I17))))</f>
        <v>2635</v>
      </c>
      <c r="F20" s="19">
        <f>MEDIAN(H3:H17)</f>
        <v>3720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2635</v>
      </c>
      <c r="E22" s="78"/>
    </row>
    <row r="23" spans="1:9" x14ac:dyDescent="0.2">
      <c r="B23" s="77" t="s">
        <v>10</v>
      </c>
      <c r="C23" s="77"/>
      <c r="D23" s="78">
        <f>ROUND(D22,2)*F3</f>
        <v>2635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153</v>
      </c>
      <c r="C3" s="64"/>
      <c r="D3" s="65"/>
      <c r="E3" s="75" t="s">
        <v>9</v>
      </c>
      <c r="F3" s="76">
        <v>1</v>
      </c>
      <c r="G3" s="4" t="s">
        <v>215</v>
      </c>
      <c r="H3" s="5">
        <f>3091.8*2</f>
        <v>6183.6</v>
      </c>
      <c r="I3" s="5">
        <f>IF(H3="","",(IF($C$20&lt;25%,"N/A",IF(H3&lt;=($D$20+$B$20),H3,"Descartado"))))</f>
        <v>6183.6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794.8</v>
      </c>
      <c r="I4" s="5">
        <f t="shared" ref="I4:I17" si="0">IF(H4="","",(IF($C$20&lt;25%,"N/A",IF(H4&lt;=($D$20+$B$20),H4,"Descartado"))))</f>
        <v>794.8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3286.2923140422745</v>
      </c>
      <c r="C20" s="18">
        <f>IF(H23&lt;2,"N/A",(B20/D20))</f>
        <v>0.71824199659975108</v>
      </c>
      <c r="D20" s="19">
        <f>AVERAGE(H3:H17)</f>
        <v>4575.4666666666672</v>
      </c>
      <c r="E20" s="20">
        <f>IF(H23&lt;2,"N/A",(IF(C20&lt;=25%,"N/A",AVERAGE(I3:I17))))</f>
        <v>4575.4666666666672</v>
      </c>
      <c r="F20" s="19">
        <f>MEDIAN(H3:H17)</f>
        <v>6183.6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4575.4666666666672</v>
      </c>
      <c r="E22" s="78"/>
    </row>
    <row r="23" spans="1:9" x14ac:dyDescent="0.2">
      <c r="B23" s="77" t="s">
        <v>10</v>
      </c>
      <c r="C23" s="77"/>
      <c r="D23" s="78">
        <f>ROUND(D22,2)*F3</f>
        <v>4575.47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63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154</v>
      </c>
      <c r="C3" s="64"/>
      <c r="D3" s="65"/>
      <c r="E3" s="75" t="s">
        <v>9</v>
      </c>
      <c r="F3" s="76">
        <v>1</v>
      </c>
      <c r="G3" s="4" t="s">
        <v>215</v>
      </c>
      <c r="H3" s="5">
        <f>33988.8*2</f>
        <v>67977.600000000006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7716.3</v>
      </c>
      <c r="I4" s="5">
        <f t="shared" ref="I4:I17" si="0">IF(H4="","",(IF($C$20&lt;25%,"N/A",IF(H4&lt;=($D$20+$B$20),H4,"Descartado"))))</f>
        <v>7716.3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14242</v>
      </c>
      <c r="I5" s="5">
        <f t="shared" si="0"/>
        <v>14242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33069.431366797544</v>
      </c>
      <c r="C20" s="18">
        <f>IF(H23&lt;2,"N/A",(B20/D20))</f>
        <v>1.1031000312488408</v>
      </c>
      <c r="D20" s="19">
        <f>AVERAGE(H3:H17)</f>
        <v>29978.633333333335</v>
      </c>
      <c r="E20" s="20">
        <f>IF(H23&lt;2,"N/A",(IF(C20&lt;=25%,"N/A",AVERAGE(I3:I17))))</f>
        <v>10979.15</v>
      </c>
      <c r="F20" s="19">
        <f>MEDIAN(H3:H17)</f>
        <v>14242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10979.15</v>
      </c>
      <c r="E22" s="78"/>
    </row>
    <row r="23" spans="1:9" x14ac:dyDescent="0.2">
      <c r="B23" s="77" t="s">
        <v>10</v>
      </c>
      <c r="C23" s="77"/>
      <c r="D23" s="78">
        <f>ROUND(D22,2)*F3</f>
        <v>10979.15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64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155</v>
      </c>
      <c r="C3" s="64"/>
      <c r="D3" s="65"/>
      <c r="E3" s="75" t="s">
        <v>9</v>
      </c>
      <c r="F3" s="76">
        <v>1</v>
      </c>
      <c r="G3" s="4" t="s">
        <v>215</v>
      </c>
      <c r="H3" s="5">
        <f>1752*2</f>
        <v>3504</v>
      </c>
      <c r="I3" s="5">
        <f>IF(H3="","",(IF($C$20&lt;25%,"N/A",IF(H3&lt;=($D$20+$B$20),H3,"Descartado"))))</f>
        <v>3504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1752</v>
      </c>
      <c r="I4" s="5">
        <f t="shared" ref="I4:I17" si="0">IF(H4="","",(IF($C$20&lt;25%,"N/A",IF(H4&lt;=($D$20+$B$20),H4,"Descartado"))))</f>
        <v>1752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2534.8588389362694</v>
      </c>
      <c r="C20" s="18">
        <f>IF(H23&lt;2,"N/A",(B20/D20))</f>
        <v>0.63350354188677171</v>
      </c>
      <c r="D20" s="19">
        <f>AVERAGE(H3:H17)</f>
        <v>4001.3333333333335</v>
      </c>
      <c r="E20" s="20">
        <f>IF(H23&lt;2,"N/A",(IF(C20&lt;=25%,"N/A",AVERAGE(I3:I17))))</f>
        <v>2628</v>
      </c>
      <c r="F20" s="19">
        <f>MEDIAN(H3:H17)</f>
        <v>3504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2628</v>
      </c>
      <c r="E22" s="78"/>
    </row>
    <row r="23" spans="1:9" x14ac:dyDescent="0.2">
      <c r="B23" s="77" t="s">
        <v>10</v>
      </c>
      <c r="C23" s="77"/>
      <c r="D23" s="78">
        <f>ROUND(D22,2)*F3</f>
        <v>2628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156</v>
      </c>
      <c r="C3" s="64"/>
      <c r="D3" s="65"/>
      <c r="E3" s="75" t="s">
        <v>9</v>
      </c>
      <c r="F3" s="76">
        <v>1</v>
      </c>
      <c r="G3" s="4" t="s">
        <v>215</v>
      </c>
      <c r="H3" s="5">
        <f>2810.88*2</f>
        <v>5621.76</v>
      </c>
      <c r="I3" s="5">
        <f>IF(H3="","",(IF($C$20&lt;25%,"N/A",IF(H3&lt;=($D$20+$B$20),H3,"Descartado"))))</f>
        <v>5621.76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2810.88</v>
      </c>
      <c r="I4" s="5">
        <f t="shared" ref="I4:I17" si="0">IF(H4="","",(IF($C$20&lt;25%,"N/A",IF(H4&lt;=($D$20+$B$20),H4,"Descartado"))))</f>
        <v>2810.88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2027.7399901696811</v>
      </c>
      <c r="C20" s="18">
        <f>IF(H23&lt;2,"N/A",(B20/D20))</f>
        <v>0.40072223374699906</v>
      </c>
      <c r="D20" s="19">
        <f>AVERAGE(H3:H17)</f>
        <v>5060.2133333333331</v>
      </c>
      <c r="E20" s="20">
        <f>IF(H23&lt;2,"N/A",(IF(C20&lt;=25%,"N/A",AVERAGE(I3:I17))))</f>
        <v>5060.2133333333331</v>
      </c>
      <c r="F20" s="19">
        <f>MEDIAN(H3:H17)</f>
        <v>5621.76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5060.2133333333331</v>
      </c>
      <c r="E22" s="78"/>
    </row>
    <row r="23" spans="1:9" x14ac:dyDescent="0.2">
      <c r="B23" s="77" t="s">
        <v>10</v>
      </c>
      <c r="C23" s="77"/>
      <c r="D23" s="78">
        <f>ROUND(D22,2)*F3</f>
        <v>5060.21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66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60"/>
      <c r="B3" s="63" t="s">
        <v>157</v>
      </c>
      <c r="C3" s="64"/>
      <c r="D3" s="65"/>
      <c r="E3" s="75" t="s">
        <v>9</v>
      </c>
      <c r="F3" s="76">
        <v>1</v>
      </c>
      <c r="G3" s="4" t="s">
        <v>215</v>
      </c>
      <c r="H3" s="5">
        <f>1200*2</f>
        <v>2400</v>
      </c>
      <c r="I3" s="5">
        <f>IF(H3="","",(IF($C$20&lt;25%,"N/A",IF(H3&lt;=($D$20+$B$20),H3,"Descartado"))))</f>
        <v>2400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1200</v>
      </c>
      <c r="I4" s="5">
        <f t="shared" ref="I4:I17" si="0">IF(H4="","",(IF($C$20&lt;25%,"N/A",IF(H4&lt;=($D$20+$B$20),H4,"Descartado"))))</f>
        <v>1200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2919.0582956380526</v>
      </c>
      <c r="C20" s="18">
        <f>IF(H23&lt;2,"N/A",(B20/D20))</f>
        <v>0.84626738373735577</v>
      </c>
      <c r="D20" s="19">
        <f>AVERAGE(H3:H17)</f>
        <v>3449.3333333333335</v>
      </c>
      <c r="E20" s="20">
        <f>IF(H23&lt;2,"N/A",(IF(C20&lt;=25%,"N/A",AVERAGE(I3:I17))))</f>
        <v>1800</v>
      </c>
      <c r="F20" s="19">
        <f>MEDIAN(H3:H17)</f>
        <v>2400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1800</v>
      </c>
      <c r="E22" s="78"/>
    </row>
    <row r="23" spans="1:9" x14ac:dyDescent="0.2">
      <c r="B23" s="77" t="s">
        <v>10</v>
      </c>
      <c r="C23" s="77"/>
      <c r="D23" s="78">
        <f>ROUND(D22,2)*F3</f>
        <v>1800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1.28515625" style="1" bestFit="1" customWidth="1"/>
    <col min="5" max="5" width="9.140625" style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67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158</v>
      </c>
      <c r="C3" s="64"/>
      <c r="D3" s="65"/>
      <c r="E3" s="75" t="s">
        <v>9</v>
      </c>
      <c r="F3" s="76">
        <v>1</v>
      </c>
      <c r="G3" s="4" t="s">
        <v>215</v>
      </c>
      <c r="H3" s="5">
        <f>12000*2</f>
        <v>24000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7755.48</v>
      </c>
      <c r="I4" s="5">
        <f t="shared" ref="I4:I17" si="0">IF(H4="","",(IF($C$20&lt;25%,"N/A",IF(H4&lt;=($D$20+$B$20),H4,"Descartado"))))</f>
        <v>7755.48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10448</v>
      </c>
      <c r="I5" s="5">
        <f t="shared" si="0"/>
        <v>10448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8706.2314654581387</v>
      </c>
      <c r="C20" s="18">
        <f>IF(H23&lt;2,"N/A",(B20/D20))</f>
        <v>0.61887537227675105</v>
      </c>
      <c r="D20" s="19">
        <f>AVERAGE(H3:H17)</f>
        <v>14067.826666666666</v>
      </c>
      <c r="E20" s="20">
        <f>IF(H23&lt;2,"N/A",(IF(C20&lt;=25%,"N/A",AVERAGE(I3:I17))))</f>
        <v>9101.74</v>
      </c>
      <c r="F20" s="19">
        <f>MEDIAN(H3:H17)</f>
        <v>10448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9101.74</v>
      </c>
      <c r="E22" s="78"/>
    </row>
    <row r="23" spans="1:9" x14ac:dyDescent="0.2">
      <c r="B23" s="77" t="s">
        <v>10</v>
      </c>
      <c r="C23" s="77"/>
      <c r="D23" s="78">
        <f>ROUND(D22,2)*F3</f>
        <v>9101.74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68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159</v>
      </c>
      <c r="C3" s="64"/>
      <c r="D3" s="65"/>
      <c r="E3" s="75" t="s">
        <v>9</v>
      </c>
      <c r="F3" s="76">
        <v>1</v>
      </c>
      <c r="G3" s="4" t="s">
        <v>215</v>
      </c>
      <c r="H3" s="5">
        <f>10499.28*2</f>
        <v>20998.560000000001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2610.4</v>
      </c>
      <c r="I4" s="5">
        <f t="shared" ref="I4:I17" si="0">IF(H4="","",(IF($C$20&lt;25%,"N/A",IF(H4&lt;=($D$20+$B$20),H4,"Descartado"))))</f>
        <v>2610.4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9403</v>
      </c>
      <c r="I5" s="5">
        <f t="shared" si="0"/>
        <v>9403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9298.0361247165147</v>
      </c>
      <c r="C20" s="18">
        <f>IF(H23&lt;2,"N/A",(B20/D20))</f>
        <v>0.84496977380772109</v>
      </c>
      <c r="D20" s="19">
        <f>AVERAGE(H3:H17)</f>
        <v>11003.986666666669</v>
      </c>
      <c r="E20" s="20">
        <f>IF(H23&lt;2,"N/A",(IF(C20&lt;=25%,"N/A",AVERAGE(I3:I17))))</f>
        <v>6006.7</v>
      </c>
      <c r="F20" s="19">
        <f>MEDIAN(H3:H17)</f>
        <v>9403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6006.7</v>
      </c>
      <c r="E22" s="78"/>
    </row>
    <row r="23" spans="1:9" x14ac:dyDescent="0.2">
      <c r="B23" s="77" t="s">
        <v>10</v>
      </c>
      <c r="C23" s="77"/>
      <c r="D23" s="78">
        <f>ROUND(D22,2)*F3</f>
        <v>6006.7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13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126</v>
      </c>
      <c r="C3" s="64"/>
      <c r="D3" s="65"/>
      <c r="E3" s="75" t="s">
        <v>9</v>
      </c>
      <c r="F3" s="76">
        <v>1</v>
      </c>
      <c r="G3" s="4" t="s">
        <v>215</v>
      </c>
      <c r="H3" s="5">
        <f>2815.2*2</f>
        <v>5630.4</v>
      </c>
      <c r="I3" s="5">
        <f>IF(H3="","",(IF($C$20&lt;25%,"N/A",IF(H3&lt;=($D$20+$B$20),H3,"Descartado"))))</f>
        <v>5630.4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1731.4</v>
      </c>
      <c r="I4" s="5">
        <f t="shared" ref="I4:I17" si="0">IF(H4="","",(IF($C$20&lt;25%,"N/A",IF(H4&lt;=($D$20+$B$20),H4,"Descartado"))))</f>
        <v>1731.4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43">
        <v>7748</v>
      </c>
      <c r="I5" s="5">
        <f t="shared" si="0"/>
        <v>7748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3051.9367162508474</v>
      </c>
      <c r="C20" s="18">
        <f>IF(H23&lt;2,"N/A",(B20/D20))</f>
        <v>0.60595177624803398</v>
      </c>
      <c r="D20" s="19">
        <f>AVERAGE(H3:H17)</f>
        <v>5036.5999999999995</v>
      </c>
      <c r="E20" s="20">
        <f>IF(H23&lt;2,"N/A",(IF(C20&lt;=25%,"N/A",AVERAGE(I3:I17))))</f>
        <v>5036.5999999999995</v>
      </c>
      <c r="F20" s="19">
        <f>MEDIAN(H3:H17)</f>
        <v>5630.4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5036.5999999999995</v>
      </c>
      <c r="E22" s="78"/>
    </row>
    <row r="23" spans="1:9" x14ac:dyDescent="0.2">
      <c r="B23" s="77" t="s">
        <v>10</v>
      </c>
      <c r="C23" s="77"/>
      <c r="D23" s="78">
        <f>ROUND(D22,2)*F3</f>
        <v>5036.6000000000004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69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160</v>
      </c>
      <c r="C3" s="64"/>
      <c r="D3" s="65"/>
      <c r="E3" s="75" t="s">
        <v>9</v>
      </c>
      <c r="F3" s="76">
        <v>1</v>
      </c>
      <c r="G3" s="4" t="s">
        <v>215</v>
      </c>
      <c r="H3" s="5">
        <f>3804*2</f>
        <v>7608</v>
      </c>
      <c r="I3" s="5">
        <f>IF(H3="","",(IF($C$20&lt;25%,"N/A",IF(H3&lt;=($D$20+$B$20),H3,"Descartado"))))</f>
        <v>7608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2602.5</v>
      </c>
      <c r="I4" s="5">
        <f t="shared" ref="I4:I17" si="0">IF(H4="","",(IF($C$20&lt;25%,"N/A",IF(H4&lt;=($D$20+$B$20),H4,"Descartado"))))</f>
        <v>2602.5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3239.5709721093217</v>
      </c>
      <c r="C20" s="18">
        <f>IF(H23&lt;2,"N/A",(B20/D20))</f>
        <v>0.51480323735084699</v>
      </c>
      <c r="D20" s="19">
        <f>AVERAGE(H3:H17)</f>
        <v>6292.833333333333</v>
      </c>
      <c r="E20" s="20">
        <f>IF(H23&lt;2,"N/A",(IF(C20&lt;=25%,"N/A",AVERAGE(I3:I17))))</f>
        <v>6292.833333333333</v>
      </c>
      <c r="F20" s="19">
        <f>MEDIAN(H3:H17)</f>
        <v>7608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6292.833333333333</v>
      </c>
      <c r="E22" s="78"/>
    </row>
    <row r="23" spans="1:9" x14ac:dyDescent="0.2">
      <c r="B23" s="77" t="s">
        <v>10</v>
      </c>
      <c r="C23" s="77"/>
      <c r="D23" s="78">
        <f>ROUND(D22,2)*F3</f>
        <v>6292.83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70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161</v>
      </c>
      <c r="C3" s="64"/>
      <c r="D3" s="65"/>
      <c r="E3" s="75" t="s">
        <v>9</v>
      </c>
      <c r="F3" s="76">
        <v>1</v>
      </c>
      <c r="G3" s="4" t="s">
        <v>215</v>
      </c>
      <c r="H3" s="5">
        <f>2028*2</f>
        <v>4056</v>
      </c>
      <c r="I3" s="5">
        <f>IF(H3="","",(IF($C$20&lt;25%,"N/A",IF(H3&lt;=($D$20+$B$20),H3,"Descartado"))))</f>
        <v>4056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710</v>
      </c>
      <c r="I4" s="5">
        <f t="shared" ref="I4:I17" si="0">IF(H4="","",(IF($C$20&lt;25%,"N/A",IF(H4&lt;=($D$20+$B$20),H4,"Descartado"))))</f>
        <v>710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3024.8973536303674</v>
      </c>
      <c r="C20" s="18">
        <f>IF(H23&lt;2,"N/A",(B20/D20))</f>
        <v>0.78814417760040845</v>
      </c>
      <c r="D20" s="19">
        <f>AVERAGE(H3:H17)</f>
        <v>3838</v>
      </c>
      <c r="E20" s="20">
        <f>IF(H23&lt;2,"N/A",(IF(C20&lt;=25%,"N/A",AVERAGE(I3:I17))))</f>
        <v>3838</v>
      </c>
      <c r="F20" s="19">
        <f>MEDIAN(H3:H17)</f>
        <v>4056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3838</v>
      </c>
      <c r="E22" s="78"/>
    </row>
    <row r="23" spans="1:9" x14ac:dyDescent="0.2">
      <c r="B23" s="77" t="s">
        <v>10</v>
      </c>
      <c r="C23" s="77"/>
      <c r="D23" s="78">
        <f>ROUND(D22,2)*F3</f>
        <v>3838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71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162</v>
      </c>
      <c r="C3" s="64"/>
      <c r="D3" s="65"/>
      <c r="E3" s="75" t="s">
        <v>9</v>
      </c>
      <c r="F3" s="76">
        <v>1</v>
      </c>
      <c r="G3" s="4" t="s">
        <v>215</v>
      </c>
      <c r="H3" s="5">
        <f>3000*2</f>
        <v>6000</v>
      </c>
      <c r="I3" s="5">
        <f>IF(H3="","",(IF($C$20&lt;25%,"N/A",IF(H3&lt;=($D$20+$B$20),H3,"Descartado"))))</f>
        <v>6000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2250</v>
      </c>
      <c r="I4" s="5">
        <f t="shared" ref="I4:I17" si="0">IF(H4="","",(IF($C$20&lt;25%,"N/A",IF(H4&lt;=($D$20+$B$20),H4,"Descartado"))))</f>
        <v>2250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6916</v>
      </c>
      <c r="I5" s="5">
        <f t="shared" si="0"/>
        <v>6916</v>
      </c>
    </row>
    <row r="6" spans="1:9" x14ac:dyDescent="0.2">
      <c r="A6" s="60"/>
      <c r="B6" s="66"/>
      <c r="C6" s="67"/>
      <c r="D6" s="68"/>
      <c r="E6" s="75"/>
      <c r="F6" s="75"/>
      <c r="G6" s="44"/>
      <c r="H6" s="43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4"/>
      <c r="H7" s="43"/>
      <c r="I7" s="43"/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2472.2834249602806</v>
      </c>
      <c r="C20" s="18">
        <f>IF(H23&lt;2,"N/A",(B20/D20))</f>
        <v>0.48904459151264951</v>
      </c>
      <c r="D20" s="19">
        <f>AVERAGE(H3:H17)</f>
        <v>5055.333333333333</v>
      </c>
      <c r="E20" s="20">
        <f>IF(H23&lt;2,"N/A",(IF(C20&lt;=25%,"N/A",AVERAGE(I3:I17))))</f>
        <v>5055.333333333333</v>
      </c>
      <c r="F20" s="19">
        <f>MEDIAN(H3:H17)</f>
        <v>6000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5055.333333333333</v>
      </c>
      <c r="E22" s="78"/>
    </row>
    <row r="23" spans="1:9" x14ac:dyDescent="0.2">
      <c r="B23" s="77" t="s">
        <v>10</v>
      </c>
      <c r="C23" s="77"/>
      <c r="D23" s="78">
        <f>ROUND(D22,2)*F3</f>
        <v>5055.33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163</v>
      </c>
      <c r="C3" s="64"/>
      <c r="D3" s="65"/>
      <c r="E3" s="75" t="s">
        <v>9</v>
      </c>
      <c r="F3" s="76">
        <v>1</v>
      </c>
      <c r="G3" s="4" t="s">
        <v>215</v>
      </c>
      <c r="H3" s="5">
        <f>1260*2</f>
        <v>2520</v>
      </c>
      <c r="I3" s="5">
        <f>IF(H3="","",(IF($C$20&lt;25%,"N/A",IF(H3&lt;=($D$20+$B$20),H3,"Descartado"))))</f>
        <v>2520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1417.5</v>
      </c>
      <c r="I4" s="5">
        <f t="shared" ref="I4:I17" si="0">IF(H4="","",(IF($C$20&lt;25%,"N/A",IF(H4&lt;=($D$20+$B$20),H4,"Descartado"))))</f>
        <v>1417.5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5368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2038.506826903784</v>
      </c>
      <c r="C20" s="18">
        <f>IF(H23&lt;2,"N/A",(B20/D20))</f>
        <v>0.65719418416112529</v>
      </c>
      <c r="D20" s="19">
        <f>AVERAGE(H3:H17)</f>
        <v>3101.8333333333335</v>
      </c>
      <c r="E20" s="20">
        <f>IF(H23&lt;2,"N/A",(IF(C20&lt;=25%,"N/A",AVERAGE(I3:I17))))</f>
        <v>1968.75</v>
      </c>
      <c r="F20" s="19">
        <f>MEDIAN(H3:H17)</f>
        <v>2520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1968.75</v>
      </c>
      <c r="E22" s="78"/>
    </row>
    <row r="23" spans="1:9" x14ac:dyDescent="0.2">
      <c r="B23" s="77" t="s">
        <v>10</v>
      </c>
      <c r="C23" s="77"/>
      <c r="D23" s="78">
        <f>ROUND(D22,2)*F3</f>
        <v>1968.75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73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164</v>
      </c>
      <c r="C3" s="64"/>
      <c r="D3" s="65"/>
      <c r="E3" s="75" t="s">
        <v>9</v>
      </c>
      <c r="F3" s="76">
        <v>1</v>
      </c>
      <c r="G3" s="4" t="s">
        <v>215</v>
      </c>
      <c r="H3" s="5">
        <f>2469.6*2</f>
        <v>4939.2</v>
      </c>
      <c r="I3" s="5">
        <f>IF(H3="","",(IF($C$20&lt;25%,"N/A",IF(H3&lt;=($D$20+$B$20),H3,"Descartado"))))</f>
        <v>4939.2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1782</v>
      </c>
      <c r="I4" s="5">
        <f t="shared" ref="I4:I17" si="0">IF(H4="","",(IF($C$20&lt;25%,"N/A",IF(H4&lt;=($D$20+$B$20),H4,"Descartado"))))</f>
        <v>1782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6916</v>
      </c>
      <c r="I5" s="5">
        <f t="shared" si="0"/>
        <v>6916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2589.5175252029726</v>
      </c>
      <c r="C20" s="18">
        <f>IF(H23&lt;2,"N/A",(B20/D20))</f>
        <v>0.56965891646444411</v>
      </c>
      <c r="D20" s="19">
        <f>AVERAGE(H3:H17)</f>
        <v>4545.7333333333336</v>
      </c>
      <c r="E20" s="20">
        <f>IF(H23&lt;2,"N/A",(IF(C20&lt;=25%,"N/A",AVERAGE(I3:I17))))</f>
        <v>4545.7333333333336</v>
      </c>
      <c r="F20" s="19">
        <f>MEDIAN(H3:H17)</f>
        <v>4939.2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4545.7333333333336</v>
      </c>
      <c r="E22" s="78"/>
    </row>
    <row r="23" spans="1:9" x14ac:dyDescent="0.2">
      <c r="B23" s="77" t="s">
        <v>10</v>
      </c>
      <c r="C23" s="77"/>
      <c r="D23" s="78">
        <f>ROUND(D22,2)*F3</f>
        <v>4545.7299999999996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74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165</v>
      </c>
      <c r="C3" s="64"/>
      <c r="D3" s="65"/>
      <c r="E3" s="75" t="s">
        <v>9</v>
      </c>
      <c r="F3" s="76">
        <v>1</v>
      </c>
      <c r="G3" s="4" t="s">
        <v>215</v>
      </c>
      <c r="H3" s="5">
        <f>16200*2</f>
        <v>32400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7350</v>
      </c>
      <c r="I4" s="5">
        <f t="shared" ref="I4:I17" si="0">IF(H4="","",(IF($C$20&lt;25%,"N/A",IF(H4&lt;=($D$20+$B$20),H4,"Descartado"))))</f>
        <v>7350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11664</v>
      </c>
      <c r="I5" s="5">
        <f t="shared" si="0"/>
        <v>11664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13392.129479660805</v>
      </c>
      <c r="C20" s="18">
        <f>IF(H23&lt;2,"N/A",(B20/D20))</f>
        <v>0.78142895785160493</v>
      </c>
      <c r="D20" s="19">
        <f>AVERAGE(H3:H17)</f>
        <v>17138</v>
      </c>
      <c r="E20" s="20">
        <f>IF(H23&lt;2,"N/A",(IF(C20&lt;=25%,"N/A",AVERAGE(I3:I17))))</f>
        <v>9507</v>
      </c>
      <c r="F20" s="19">
        <f>MEDIAN(H3:H17)</f>
        <v>11664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9507</v>
      </c>
      <c r="E22" s="78"/>
    </row>
    <row r="23" spans="1:9" x14ac:dyDescent="0.2">
      <c r="B23" s="77" t="s">
        <v>10</v>
      </c>
      <c r="C23" s="77"/>
      <c r="D23" s="78">
        <f>ROUND(D22,2)*F3</f>
        <v>9507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166</v>
      </c>
      <c r="C3" s="64"/>
      <c r="D3" s="65"/>
      <c r="E3" s="75" t="s">
        <v>9</v>
      </c>
      <c r="F3" s="76">
        <v>1</v>
      </c>
      <c r="G3" s="4" t="s">
        <v>215</v>
      </c>
      <c r="H3" s="5">
        <f>3576*2</f>
        <v>7152</v>
      </c>
      <c r="I3" s="5">
        <f>IF(H3="","",(IF($C$20&lt;25%,"N/A",IF(H3&lt;=($D$20+$B$20),H3,"Descartado"))))</f>
        <v>7152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2670</v>
      </c>
      <c r="I4" s="5">
        <f t="shared" ref="I4:I17" si="0">IF(H4="","",(IF($C$20&lt;25%,"N/A",IF(H4&lt;=($D$20+$B$20),H4,"Descartado"))))</f>
        <v>2670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5368</v>
      </c>
      <c r="I5" s="5">
        <f t="shared" si="0"/>
        <v>5368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2256.4789680680242</v>
      </c>
      <c r="C20" s="18">
        <f>IF(H23&lt;2,"N/A",(B20/D20))</f>
        <v>0.4456508824360812</v>
      </c>
      <c r="D20" s="19">
        <f>AVERAGE(H3:H17)</f>
        <v>5063.333333333333</v>
      </c>
      <c r="E20" s="20">
        <f>IF(H23&lt;2,"N/A",(IF(C20&lt;=25%,"N/A",AVERAGE(I3:I17))))</f>
        <v>5063.333333333333</v>
      </c>
      <c r="F20" s="19">
        <f>MEDIAN(H3:H17)</f>
        <v>5368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5063.333333333333</v>
      </c>
      <c r="E22" s="78"/>
    </row>
    <row r="23" spans="1:9" x14ac:dyDescent="0.2">
      <c r="B23" s="77" t="s">
        <v>10</v>
      </c>
      <c r="C23" s="77"/>
      <c r="D23" s="78">
        <f>ROUND(D22,2)*F3</f>
        <v>5063.33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167</v>
      </c>
      <c r="C3" s="64"/>
      <c r="D3" s="65"/>
      <c r="E3" s="75" t="s">
        <v>9</v>
      </c>
      <c r="F3" s="76">
        <v>1</v>
      </c>
      <c r="G3" s="4" t="s">
        <v>215</v>
      </c>
      <c r="H3" s="5">
        <f>468*2</f>
        <v>936</v>
      </c>
      <c r="I3" s="5">
        <f>IF(H3="","",(IF($C$20&lt;25%,"N/A",IF(H3&lt;=($D$20+$B$20),H3,"Descartado"))))</f>
        <v>936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675</v>
      </c>
      <c r="I4" s="5">
        <f t="shared" ref="I4:I17" si="0">IF(H4="","",(IF($C$20&lt;25%,"N/A",IF(H4&lt;=($D$20+$B$20),H4,"Descartado"))))</f>
        <v>675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2685.8302875150794</v>
      </c>
      <c r="C20" s="18">
        <f>IF(H23&lt;2,"N/A",(B20/D20))</f>
        <v>1.1408028971464304</v>
      </c>
      <c r="D20" s="19">
        <f>AVERAGE(H3:H17)</f>
        <v>2354.3333333333335</v>
      </c>
      <c r="E20" s="20">
        <f>IF(H23&lt;2,"N/A",(IF(C20&lt;=25%,"N/A",AVERAGE(I3:I17))))</f>
        <v>805.5</v>
      </c>
      <c r="F20" s="19">
        <f>MEDIAN(H3:H17)</f>
        <v>936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805.5</v>
      </c>
      <c r="E22" s="78"/>
    </row>
    <row r="23" spans="1:9" x14ac:dyDescent="0.2">
      <c r="B23" s="77" t="s">
        <v>10</v>
      </c>
      <c r="C23" s="77"/>
      <c r="D23" s="78">
        <f>ROUND(D22,2)*F3</f>
        <v>805.5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5" width="10.28515625" style="1" bestFit="1" customWidth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76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168</v>
      </c>
      <c r="C3" s="64"/>
      <c r="D3" s="65"/>
      <c r="E3" s="75" t="s">
        <v>9</v>
      </c>
      <c r="F3" s="76">
        <v>1</v>
      </c>
      <c r="G3" s="4" t="s">
        <v>215</v>
      </c>
      <c r="H3" s="5">
        <f>2025.63*2</f>
        <v>4051.26</v>
      </c>
      <c r="I3" s="5">
        <f>IF(H3="","",(IF($C$20&lt;25%,"N/A",IF(H3&lt;=($D$20+$B$20),H3,"Descartado"))))</f>
        <v>4051.26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7800</v>
      </c>
      <c r="I4" s="5">
        <f t="shared" ref="I4:I17" si="0">IF(H4="","",(IF($C$20&lt;25%,"N/A",IF(H4&lt;=($D$20+$B$20),H4,"Descartado"))))</f>
        <v>7800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14272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5170.4829196636283</v>
      </c>
      <c r="C20" s="18">
        <f>IF(H23&lt;2,"N/A",(B20/D20))</f>
        <v>0.59377921281612189</v>
      </c>
      <c r="D20" s="19">
        <f>AVERAGE(H3:H17)</f>
        <v>8707.753333333334</v>
      </c>
      <c r="E20" s="20">
        <f>IF(H23&lt;2,"N/A",(IF(C20&lt;=25%,"N/A",AVERAGE(I3:I17))))</f>
        <v>5925.63</v>
      </c>
      <c r="F20" s="19">
        <f>MEDIAN(H3:H17)</f>
        <v>7800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5925.63</v>
      </c>
      <c r="E22" s="78"/>
    </row>
    <row r="23" spans="1:9" x14ac:dyDescent="0.2">
      <c r="B23" s="77" t="s">
        <v>10</v>
      </c>
      <c r="C23" s="77"/>
      <c r="D23" s="78">
        <f>ROUND(D22,2)*F3</f>
        <v>5925.63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77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60"/>
      <c r="B3" s="63" t="s">
        <v>169</v>
      </c>
      <c r="C3" s="64"/>
      <c r="D3" s="65"/>
      <c r="E3" s="75" t="s">
        <v>9</v>
      </c>
      <c r="F3" s="76">
        <v>1</v>
      </c>
      <c r="G3" s="4" t="s">
        <v>215</v>
      </c>
      <c r="H3" s="5">
        <f>5589*2</f>
        <v>11178</v>
      </c>
      <c r="I3" s="5">
        <f>IF(H3="","",(IF($C$20&lt;25%,"N/A",IF(H3&lt;=($D$20+$B$20),H3,"Descartado"))))</f>
        <v>11178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3000</v>
      </c>
      <c r="I4" s="5">
        <f t="shared" ref="I4:I17" si="0">IF(H4="","",(IF($C$20&lt;25%,"N/A",IF(H4&lt;=($D$20+$B$20),H4,"Descartado"))))</f>
        <v>3000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4189.3915230416615</v>
      </c>
      <c r="C20" s="18">
        <f>IF(H23&lt;2,"N/A",(B20/D20))</f>
        <v>0.55012582373829055</v>
      </c>
      <c r="D20" s="19">
        <f>AVERAGE(H3:H17)</f>
        <v>7615.333333333333</v>
      </c>
      <c r="E20" s="20">
        <f>IF(H23&lt;2,"N/A",(IF(C20&lt;=25%,"N/A",AVERAGE(I3:I17))))</f>
        <v>7615.333333333333</v>
      </c>
      <c r="F20" s="19">
        <f>MEDIAN(H3:H17)</f>
        <v>8668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7615.333333333333</v>
      </c>
      <c r="E22" s="78"/>
    </row>
    <row r="23" spans="1:9" x14ac:dyDescent="0.2">
      <c r="B23" s="77" t="s">
        <v>10</v>
      </c>
      <c r="C23" s="77"/>
      <c r="D23" s="78">
        <f>ROUND(D22,2)*F3</f>
        <v>7615.33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14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127</v>
      </c>
      <c r="C3" s="64"/>
      <c r="D3" s="65"/>
      <c r="E3" s="75" t="s">
        <v>9</v>
      </c>
      <c r="F3" s="76">
        <v>1</v>
      </c>
      <c r="G3" s="4" t="s">
        <v>215</v>
      </c>
      <c r="H3" s="5">
        <f>2485.2*2</f>
        <v>4970.3999999999996</v>
      </c>
      <c r="I3" s="5">
        <f>IF(H3="","",(IF($C$20&lt;25%,"N/A",IF(H3&lt;=($D$20+$B$20),H3,"Descartado"))))</f>
        <v>4970.3999999999996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1547.7</v>
      </c>
      <c r="I4" s="5">
        <f t="shared" ref="I4:I17" si="0">IF(H4="","",(IF($C$20&lt;25%,"N/A",IF(H4&lt;=($D$20+$B$20),H4,"Descartado"))))</f>
        <v>1547.7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6648</v>
      </c>
      <c r="I5" s="5">
        <f t="shared" si="0"/>
        <v>6648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2599.4318975499245</v>
      </c>
      <c r="C20" s="18">
        <f>IF(H23&lt;2,"N/A",(B20/D20))</f>
        <v>0.59230111366690019</v>
      </c>
      <c r="D20" s="19">
        <f>AVERAGE(H3:H17)</f>
        <v>4388.7</v>
      </c>
      <c r="E20" s="20">
        <f>IF(H23&lt;2,"N/A",(IF(C20&lt;=25%,"N/A",AVERAGE(I3:I17))))</f>
        <v>4388.7</v>
      </c>
      <c r="F20" s="19">
        <f>MEDIAN(H3:H17)</f>
        <v>4970.3999999999996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4388.7</v>
      </c>
      <c r="E22" s="78"/>
    </row>
    <row r="23" spans="1:9" x14ac:dyDescent="0.2">
      <c r="B23" s="77" t="s">
        <v>10</v>
      </c>
      <c r="C23" s="77"/>
      <c r="D23" s="78">
        <f>ROUND(D22,2)*F3</f>
        <v>4388.7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78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170</v>
      </c>
      <c r="C3" s="64"/>
      <c r="D3" s="65"/>
      <c r="E3" s="75" t="s">
        <v>9</v>
      </c>
      <c r="F3" s="76">
        <v>1</v>
      </c>
      <c r="G3" s="4" t="s">
        <v>215</v>
      </c>
      <c r="H3" s="5">
        <f>5448*2</f>
        <v>10896</v>
      </c>
      <c r="I3" s="5">
        <f>IF(H3="","",(IF($C$20&lt;25%,"N/A",IF(H3&lt;=($D$20+$B$20),H3,"Descartado"))))</f>
        <v>10896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4050</v>
      </c>
      <c r="I4" s="5">
        <f t="shared" ref="I4:I17" si="0">IF(H4="","",(IF($C$20&lt;25%,"N/A",IF(H4&lt;=($D$20+$B$20),H4,"Descartado"))))</f>
        <v>4050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3491.8386751585945</v>
      </c>
      <c r="C20" s="18">
        <f>IF(H23&lt;2,"N/A",(B20/D20))</f>
        <v>0.44361463646463045</v>
      </c>
      <c r="D20" s="19">
        <f>AVERAGE(H3:H17)</f>
        <v>7871.333333333333</v>
      </c>
      <c r="E20" s="20">
        <f>IF(H23&lt;2,"N/A",(IF(C20&lt;=25%,"N/A",AVERAGE(I3:I17))))</f>
        <v>7871.333333333333</v>
      </c>
      <c r="F20" s="19">
        <f>MEDIAN(H3:H17)</f>
        <v>8668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7871.333333333333</v>
      </c>
      <c r="E22" s="78"/>
    </row>
    <row r="23" spans="1:9" x14ac:dyDescent="0.2">
      <c r="B23" s="77" t="s">
        <v>10</v>
      </c>
      <c r="C23" s="77"/>
      <c r="D23" s="78">
        <f>ROUND(D22,2)*F3</f>
        <v>7871.33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79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171</v>
      </c>
      <c r="C3" s="64"/>
      <c r="D3" s="65"/>
      <c r="E3" s="75" t="s">
        <v>9</v>
      </c>
      <c r="F3" s="76">
        <v>1</v>
      </c>
      <c r="G3" s="4" t="s">
        <v>215</v>
      </c>
      <c r="H3" s="5">
        <f>1716*2</f>
        <v>3432</v>
      </c>
      <c r="I3" s="5">
        <f>IF(H3="","",(IF($C$20&lt;25%,"N/A",IF(H3&lt;=($D$20+$B$20),H3,"Descartado"))))</f>
        <v>3432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1437</v>
      </c>
      <c r="I4" s="5">
        <f t="shared" ref="I4:I17" si="0">IF(H4="","",(IF($C$20&lt;25%,"N/A",IF(H4&lt;=($D$20+$B$20),H4,"Descartado"))))</f>
        <v>1437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2682.7411976061599</v>
      </c>
      <c r="C20" s="18">
        <f>IF(H23&lt;2,"N/A",(B20/D20))</f>
        <v>0.69279707263652224</v>
      </c>
      <c r="D20" s="19">
        <f>AVERAGE(H3:H17)</f>
        <v>3872.3333333333335</v>
      </c>
      <c r="E20" s="20">
        <f>IF(H23&lt;2,"N/A",(IF(C20&lt;=25%,"N/A",AVERAGE(I3:I17))))</f>
        <v>2434.5</v>
      </c>
      <c r="F20" s="19">
        <f>MEDIAN(H3:H17)</f>
        <v>3432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2434.5</v>
      </c>
      <c r="E22" s="78"/>
    </row>
    <row r="23" spans="1:9" x14ac:dyDescent="0.2">
      <c r="B23" s="77" t="s">
        <v>10</v>
      </c>
      <c r="C23" s="77"/>
      <c r="D23" s="78">
        <f>ROUND(D22,2)*F3</f>
        <v>2434.5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80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172</v>
      </c>
      <c r="C3" s="64"/>
      <c r="D3" s="65"/>
      <c r="E3" s="75" t="s">
        <v>9</v>
      </c>
      <c r="F3" s="76">
        <v>1</v>
      </c>
      <c r="G3" s="4" t="s">
        <v>215</v>
      </c>
      <c r="H3" s="5">
        <f>1560*2</f>
        <v>3120</v>
      </c>
      <c r="I3" s="5">
        <f>IF(H3="","",(IF($C$20&lt;25%,"N/A",IF(H3&lt;=($D$20+$B$20),H3,"Descartado"))))</f>
        <v>3120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1305</v>
      </c>
      <c r="I4" s="5">
        <f t="shared" ref="I4:I17" si="0">IF(H4="","",(IF($C$20&lt;25%,"N/A",IF(H4&lt;=($D$20+$B$20),H4,"Descartado"))))</f>
        <v>1305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/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2771.3672317708692</v>
      </c>
      <c r="C20" s="18">
        <f>IF(H23&lt;2,"N/A",(B20/D20))</f>
        <v>0.74412437978274482</v>
      </c>
      <c r="D20" s="19">
        <f>AVERAGE(H3:H17)</f>
        <v>3724.3333333333335</v>
      </c>
      <c r="E20" s="20">
        <f>IF(H23&lt;2,"N/A",(IF(C20&lt;=25%,"N/A",AVERAGE(I3:I17))))</f>
        <v>2212.5</v>
      </c>
      <c r="F20" s="19">
        <f>MEDIAN(H3:H17)</f>
        <v>3120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2212.5</v>
      </c>
      <c r="E22" s="78"/>
    </row>
    <row r="23" spans="1:9" x14ac:dyDescent="0.2">
      <c r="B23" s="77" t="s">
        <v>10</v>
      </c>
      <c r="C23" s="77"/>
      <c r="D23" s="78">
        <f>ROUND(D22,2)*F3</f>
        <v>2212.5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81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173</v>
      </c>
      <c r="C3" s="64"/>
      <c r="D3" s="65"/>
      <c r="E3" s="75" t="s">
        <v>9</v>
      </c>
      <c r="F3" s="76">
        <v>1</v>
      </c>
      <c r="G3" s="4" t="s">
        <v>215</v>
      </c>
      <c r="H3" s="5">
        <f>264*2</f>
        <v>528</v>
      </c>
      <c r="I3" s="5">
        <f>IF(H3="","",(IF($C$20&lt;25%,"N/A",IF(H3&lt;=($D$20+$B$20),H3,"Descartado"))))</f>
        <v>528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498</v>
      </c>
      <c r="I4" s="5">
        <f t="shared" ref="I4:I17" si="0">IF(H4="","",(IF($C$20&lt;25%,"N/A",IF(H4&lt;=($D$20+$B$20),H4,"Descartado"))))</f>
        <v>498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5179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/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2693.9581164771907</v>
      </c>
      <c r="C20" s="18">
        <f>IF(H23&lt;2,"N/A",(B20/D20))</f>
        <v>1.3024777356054105</v>
      </c>
      <c r="D20" s="19">
        <f>AVERAGE(H3:H17)</f>
        <v>2068.3333333333335</v>
      </c>
      <c r="E20" s="20">
        <f>IF(H23&lt;2,"N/A",(IF(C20&lt;=25%,"N/A",AVERAGE(I3:I17))))</f>
        <v>513</v>
      </c>
      <c r="F20" s="19">
        <f>MEDIAN(H3:H17)</f>
        <v>528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513</v>
      </c>
      <c r="E22" s="78"/>
    </row>
    <row r="23" spans="1:9" x14ac:dyDescent="0.2">
      <c r="B23" s="77" t="s">
        <v>10</v>
      </c>
      <c r="C23" s="77"/>
      <c r="D23" s="78">
        <f>ROUND(D22,2)*F3</f>
        <v>513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174</v>
      </c>
      <c r="C3" s="64"/>
      <c r="D3" s="65"/>
      <c r="E3" s="75" t="s">
        <v>9</v>
      </c>
      <c r="F3" s="76">
        <v>1</v>
      </c>
      <c r="G3" s="4" t="s">
        <v>215</v>
      </c>
      <c r="H3" s="5">
        <f>16569.24*2</f>
        <v>33138.480000000003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6600</v>
      </c>
      <c r="I4" s="5">
        <f t="shared" ref="I4:I17" si="0">IF(H4="","",(IF($C$20&lt;25%,"N/A",IF(H4&lt;=($D$20+$B$20),H4,"Descartado"))))</f>
        <v>6600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14272</v>
      </c>
      <c r="I5" s="5">
        <f t="shared" si="0"/>
        <v>14272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13657.077361212145</v>
      </c>
      <c r="C20" s="18">
        <f>IF(H23&lt;2,"N/A",(B20/D20))</f>
        <v>0.75857929949218061</v>
      </c>
      <c r="D20" s="19">
        <f>AVERAGE(H3:H17)</f>
        <v>18003.493333333336</v>
      </c>
      <c r="E20" s="20">
        <f>IF(H23&lt;2,"N/A",(IF(C20&lt;=25%,"N/A",AVERAGE(I3:I17))))</f>
        <v>10436</v>
      </c>
      <c r="F20" s="19">
        <f>MEDIAN(H3:H17)</f>
        <v>14272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10436</v>
      </c>
      <c r="E22" s="78"/>
    </row>
    <row r="23" spans="1:9" x14ac:dyDescent="0.2">
      <c r="B23" s="77" t="s">
        <v>10</v>
      </c>
      <c r="C23" s="77"/>
      <c r="D23" s="78">
        <f>ROUND(D22,2)*F3</f>
        <v>10436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83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175</v>
      </c>
      <c r="C3" s="64"/>
      <c r="D3" s="65"/>
      <c r="E3" s="75" t="s">
        <v>9</v>
      </c>
      <c r="F3" s="76">
        <v>1</v>
      </c>
      <c r="G3" s="4" t="s">
        <v>215</v>
      </c>
      <c r="H3" s="5">
        <f>1524*2</f>
        <v>3048</v>
      </c>
      <c r="I3" s="5">
        <f>IF(H3="","",(IF($C$20&lt;25%,"N/A",IF(H3&lt;=($D$20+$B$20),H3,"Descartado"))))</f>
        <v>3048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1248</v>
      </c>
      <c r="I4" s="5">
        <f t="shared" ref="I4:I17" si="0">IF(H4="","",(IF($C$20&lt;25%,"N/A",IF(H4&lt;=($D$20+$B$20),H4,"Descartado"))))</f>
        <v>1248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2804.1635710730807</v>
      </c>
      <c r="C20" s="18">
        <f>IF(H23&lt;2,"N/A",(B20/D20))</f>
        <v>0.76172498308758074</v>
      </c>
      <c r="D20" s="19">
        <f>AVERAGE(H3:H17)</f>
        <v>3681.3333333333335</v>
      </c>
      <c r="E20" s="20">
        <f>IF(H23&lt;2,"N/A",(IF(C20&lt;=25%,"N/A",AVERAGE(I3:I17))))</f>
        <v>2148</v>
      </c>
      <c r="F20" s="19">
        <f>MEDIAN(H3:H17)</f>
        <v>3048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2148</v>
      </c>
      <c r="E22" s="78"/>
    </row>
    <row r="23" spans="1:9" x14ac:dyDescent="0.2">
      <c r="B23" s="77" t="s">
        <v>10</v>
      </c>
      <c r="C23" s="77"/>
      <c r="D23" s="78">
        <f>ROUND(D22,2)*F3</f>
        <v>2148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84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176</v>
      </c>
      <c r="C3" s="64"/>
      <c r="D3" s="65"/>
      <c r="E3" s="75" t="s">
        <v>9</v>
      </c>
      <c r="F3" s="76">
        <v>1</v>
      </c>
      <c r="G3" s="4" t="s">
        <v>215</v>
      </c>
      <c r="H3" s="5">
        <f>1596*2</f>
        <v>3192</v>
      </c>
      <c r="I3" s="5">
        <f>IF(H3="","",(IF($C$20&lt;25%,"N/A",IF(H3&lt;=($D$20+$B$20),H3,"Descartado"))))</f>
        <v>3192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1153.5</v>
      </c>
      <c r="I4" s="5">
        <f t="shared" ref="I4:I17" si="0">IF(H4="","",(IF($C$20&lt;25%,"N/A",IF(H4&lt;=($D$20+$B$20),H4,"Descartado"))))</f>
        <v>1153.5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6648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4"/>
      <c r="H6" s="43"/>
      <c r="I6" s="43"/>
    </row>
    <row r="7" spans="1:9" x14ac:dyDescent="0.2">
      <c r="A7" s="60"/>
      <c r="B7" s="66"/>
      <c r="C7" s="67"/>
      <c r="D7" s="68"/>
      <c r="E7" s="75"/>
      <c r="F7" s="75"/>
      <c r="G7" s="44"/>
      <c r="H7" s="43"/>
      <c r="I7" s="43"/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2777.557335141797</v>
      </c>
      <c r="C20" s="18">
        <f>IF(H23&lt;2,"N/A",(B20/D20))</f>
        <v>0.75796352439399561</v>
      </c>
      <c r="D20" s="19">
        <f>AVERAGE(H3:H17)</f>
        <v>3664.5</v>
      </c>
      <c r="E20" s="20">
        <f>IF(H23&lt;2,"N/A",(IF(C20&lt;=25%,"N/A",AVERAGE(I3:I17))))</f>
        <v>2172.75</v>
      </c>
      <c r="F20" s="19">
        <f>MEDIAN(H3:H17)</f>
        <v>3192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2172.75</v>
      </c>
      <c r="E22" s="78"/>
    </row>
    <row r="23" spans="1:9" x14ac:dyDescent="0.2">
      <c r="B23" s="77" t="s">
        <v>10</v>
      </c>
      <c r="C23" s="77"/>
      <c r="D23" s="78">
        <f>ROUND(D22,2)*F3</f>
        <v>2172.75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177</v>
      </c>
      <c r="C3" s="64"/>
      <c r="D3" s="65"/>
      <c r="E3" s="75" t="s">
        <v>9</v>
      </c>
      <c r="F3" s="76">
        <v>1</v>
      </c>
      <c r="G3" s="4" t="s">
        <v>215</v>
      </c>
      <c r="H3" s="5">
        <f>1116*2</f>
        <v>2232</v>
      </c>
      <c r="I3" s="5">
        <f>IF(H3="","",(IF($C$20&lt;25%,"N/A",IF(H3&lt;=($D$20+$B$20),H3,"Descartado"))))</f>
        <v>2232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988.8</v>
      </c>
      <c r="I4" s="5">
        <f t="shared" ref="I4:I17" si="0">IF(H4="","",(IF($C$20&lt;25%,"N/A",IF(H4&lt;=($D$20+$B$20),H4,"Descartado"))))</f>
        <v>988.8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2303.4069144059922</v>
      </c>
      <c r="C20" s="18">
        <f>IF(H23&lt;2,"N/A",(B20/D20))</f>
        <v>0.79676929517779471</v>
      </c>
      <c r="D20" s="19">
        <f>AVERAGE(H3:H17)</f>
        <v>2890.9333333333329</v>
      </c>
      <c r="E20" s="20">
        <f>IF(H23&lt;2,"N/A",(IF(C20&lt;=25%,"N/A",AVERAGE(I3:I17))))</f>
        <v>1610.4</v>
      </c>
      <c r="F20" s="19">
        <f>MEDIAN(H3:H17)</f>
        <v>2232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1610.4</v>
      </c>
      <c r="E22" s="78"/>
    </row>
    <row r="23" spans="1:9" x14ac:dyDescent="0.2">
      <c r="B23" s="77" t="s">
        <v>10</v>
      </c>
      <c r="C23" s="77"/>
      <c r="D23" s="78">
        <f>ROUND(D22,2)*F3</f>
        <v>1610.4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86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178</v>
      </c>
      <c r="C3" s="64"/>
      <c r="D3" s="65"/>
      <c r="E3" s="75" t="s">
        <v>9</v>
      </c>
      <c r="F3" s="76">
        <v>1</v>
      </c>
      <c r="G3" s="4" t="s">
        <v>215</v>
      </c>
      <c r="H3" s="5">
        <f>2640*2</f>
        <v>5280</v>
      </c>
      <c r="I3" s="5">
        <f>IF(H3="","",(IF($C$20&lt;25%,"N/A",IF(H3&lt;=($D$20+$B$20),H3,"Descartado"))))</f>
        <v>5280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1980</v>
      </c>
      <c r="I4" s="5">
        <f t="shared" ref="I4:I17" si="0">IF(H4="","",(IF($C$20&lt;25%,"N/A",IF(H4&lt;=($D$20+$B$20),H4,"Descartado"))))</f>
        <v>1980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2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2441.9544085288185</v>
      </c>
      <c r="C20" s="18">
        <f>IF(H23&lt;2,"N/A",(B20/D20))</f>
        <v>0.52297710062724556</v>
      </c>
      <c r="D20" s="19">
        <f>AVERAGE(H3:H17)</f>
        <v>4669.333333333333</v>
      </c>
      <c r="E20" s="20">
        <f>IF(H23&lt;2,"N/A",(IF(C20&lt;=25%,"N/A",AVERAGE(I3:I17))))</f>
        <v>4669.333333333333</v>
      </c>
      <c r="F20" s="19">
        <f>MEDIAN(H3:H17)</f>
        <v>5280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4669.333333333333</v>
      </c>
      <c r="E22" s="78"/>
    </row>
    <row r="23" spans="1:9" x14ac:dyDescent="0.2">
      <c r="B23" s="77" t="s">
        <v>10</v>
      </c>
      <c r="C23" s="77"/>
      <c r="D23" s="78">
        <f>ROUND(D22,2)*F3</f>
        <v>4669.33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5" width="10.28515625" style="1" bestFit="1" customWidth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87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179</v>
      </c>
      <c r="C3" s="64"/>
      <c r="D3" s="65"/>
      <c r="E3" s="75" t="s">
        <v>9</v>
      </c>
      <c r="F3" s="76">
        <v>1</v>
      </c>
      <c r="G3" s="4" t="s">
        <v>215</v>
      </c>
      <c r="H3" s="5">
        <f>10916.6*2</f>
        <v>21833.200000000001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4950</v>
      </c>
      <c r="I4" s="5">
        <f t="shared" ref="I4:I17" si="0">IF(H4="","",(IF($C$20&lt;25%,"N/A",IF(H4&lt;=($D$20+$B$20),H4,"Descartado"))))</f>
        <v>4950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10448</v>
      </c>
      <c r="I5" s="5">
        <f t="shared" si="0"/>
        <v>10448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8610.9738636230941</v>
      </c>
      <c r="C20" s="18">
        <f>IF(H23&lt;2,"N/A",(B20/D20))</f>
        <v>0.69385143618441747</v>
      </c>
      <c r="D20" s="19">
        <f>AVERAGE(H3:H17)</f>
        <v>12410.4</v>
      </c>
      <c r="E20" s="20">
        <f>IF(H23&lt;2,"N/A",(IF(C20&lt;=25%,"N/A",AVERAGE(I3:I17))))</f>
        <v>7699</v>
      </c>
      <c r="F20" s="19">
        <f>MEDIAN(H3:H17)</f>
        <v>10448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7699</v>
      </c>
      <c r="E22" s="78"/>
    </row>
    <row r="23" spans="1:9" x14ac:dyDescent="0.2">
      <c r="B23" s="77" t="s">
        <v>10</v>
      </c>
      <c r="C23" s="77"/>
      <c r="D23" s="78">
        <f>ROUND(D22,2)*F3</f>
        <v>7699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15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128</v>
      </c>
      <c r="C3" s="64"/>
      <c r="D3" s="65"/>
      <c r="E3" s="75" t="s">
        <v>9</v>
      </c>
      <c r="F3" s="76">
        <v>1</v>
      </c>
      <c r="G3" s="4" t="s">
        <v>215</v>
      </c>
      <c r="H3" s="5">
        <f>1212*2</f>
        <v>2424</v>
      </c>
      <c r="I3" s="5">
        <f>IF(H3="","",(IF($C$20&lt;25%,"N/A",IF(H3&lt;=($D$20+$B$20),H3,"Descartado"))))</f>
        <v>2424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891</v>
      </c>
      <c r="I4" s="5">
        <f t="shared" ref="I4:I17" si="0">IF(H4="","",(IF($C$20&lt;25%,"N/A",IF(H4&lt;=($D$20+$B$20),H4,"Descartado"))))</f>
        <v>891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6648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2981.4793308020767</v>
      </c>
      <c r="C20" s="18">
        <f>IF(H23&lt;2,"N/A",(B20/D20))</f>
        <v>0.89776553170794238</v>
      </c>
      <c r="D20" s="19">
        <f>AVERAGE(H3:H17)</f>
        <v>3321</v>
      </c>
      <c r="E20" s="20">
        <f>IF(H23&lt;2,"N/A",(IF(C20&lt;=25%,"N/A",AVERAGE(I3:I17))))</f>
        <v>1657.5</v>
      </c>
      <c r="F20" s="19">
        <f>MEDIAN(H3:H17)</f>
        <v>2424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1657.5</v>
      </c>
      <c r="E22" s="78"/>
    </row>
    <row r="23" spans="1:9" x14ac:dyDescent="0.2">
      <c r="B23" s="77" t="s">
        <v>10</v>
      </c>
      <c r="C23" s="77"/>
      <c r="D23" s="78">
        <f>ROUND(D22,2)*F3</f>
        <v>1657.5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88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180</v>
      </c>
      <c r="C3" s="64"/>
      <c r="D3" s="65"/>
      <c r="E3" s="75" t="s">
        <v>9</v>
      </c>
      <c r="F3" s="76">
        <v>1</v>
      </c>
      <c r="G3" s="4" t="s">
        <v>215</v>
      </c>
      <c r="H3" s="5">
        <f>7200*2</f>
        <v>14400</v>
      </c>
      <c r="I3" s="5">
        <f>IF(H3="","",(IF($C$20&lt;25%,"N/A",IF(H3&lt;=($D$20+$B$20),H3,"Descartado"))))</f>
        <v>14400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3450</v>
      </c>
      <c r="I4" s="5">
        <f t="shared" ref="I4:I17" si="0">IF(H4="","",(IF($C$20&lt;25%,"N/A",IF(H4&lt;=($D$20+$B$20),H4,"Descartado"))))</f>
        <v>3450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9403</v>
      </c>
      <c r="I5" s="5">
        <f t="shared" si="0"/>
        <v>9403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5481.9509605005887</v>
      </c>
      <c r="C20" s="18">
        <f>IF(H23&lt;2,"N/A",(B20/D20))</f>
        <v>0.60345110195214346</v>
      </c>
      <c r="D20" s="19">
        <f>AVERAGE(H3:H17)</f>
        <v>9084.3333333333339</v>
      </c>
      <c r="E20" s="20">
        <f>IF(H23&lt;2,"N/A",(IF(C20&lt;=25%,"N/A",AVERAGE(I3:I17))))</f>
        <v>9084.3333333333339</v>
      </c>
      <c r="F20" s="19">
        <f>MEDIAN(H3:H17)</f>
        <v>9403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9084.3333333333339</v>
      </c>
      <c r="E22" s="78"/>
    </row>
    <row r="23" spans="1:9" x14ac:dyDescent="0.2">
      <c r="B23" s="77" t="s">
        <v>10</v>
      </c>
      <c r="C23" s="77"/>
      <c r="D23" s="78">
        <f>ROUND(D22,2)*F3</f>
        <v>9084.33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89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60"/>
      <c r="B3" s="63" t="s">
        <v>181</v>
      </c>
      <c r="C3" s="64"/>
      <c r="D3" s="65"/>
      <c r="E3" s="75" t="s">
        <v>9</v>
      </c>
      <c r="F3" s="76">
        <v>1</v>
      </c>
      <c r="G3" s="4" t="s">
        <v>215</v>
      </c>
      <c r="H3" s="5">
        <f>2160*2</f>
        <v>4320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1365</v>
      </c>
      <c r="I4" s="5">
        <f t="shared" ref="I4:I17" si="0">IF(H4="","",(IF($C$20&lt;25%,"N/A",IF(H4&lt;=($D$20+$B$20),H4,"Descartado"))))</f>
        <v>1365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1687</v>
      </c>
      <c r="I5" s="5">
        <f t="shared" si="0"/>
        <v>1687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1621.131189427103</v>
      </c>
      <c r="C20" s="18">
        <f>IF(H23&lt;2,"N/A",(B20/D20))</f>
        <v>0.65971155294103478</v>
      </c>
      <c r="D20" s="19">
        <f>AVERAGE(H3:H17)</f>
        <v>2457.3333333333335</v>
      </c>
      <c r="E20" s="20">
        <f>IF(H23&lt;2,"N/A",(IF(C20&lt;=25%,"N/A",AVERAGE(I3:I17))))</f>
        <v>1526</v>
      </c>
      <c r="F20" s="19">
        <f>MEDIAN(H3:H17)</f>
        <v>1687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1526</v>
      </c>
      <c r="E22" s="78"/>
    </row>
    <row r="23" spans="1:9" x14ac:dyDescent="0.2">
      <c r="B23" s="77" t="s">
        <v>10</v>
      </c>
      <c r="C23" s="77"/>
      <c r="D23" s="78">
        <f>ROUND(D22,2)*F3</f>
        <v>1526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1.28515625" style="1" bestFit="1" customWidth="1"/>
    <col min="5" max="5" width="10.28515625" style="1" bestFit="1" customWidth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90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182</v>
      </c>
      <c r="C3" s="64"/>
      <c r="D3" s="65"/>
      <c r="E3" s="75" t="s">
        <v>9</v>
      </c>
      <c r="F3" s="76">
        <v>1</v>
      </c>
      <c r="G3" s="4" t="s">
        <v>215</v>
      </c>
      <c r="H3" s="5">
        <f>12000*2</f>
        <v>24000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1131</v>
      </c>
      <c r="I4" s="5">
        <f t="shared" ref="I4:I17" si="0">IF(H4="","",(IF($C$20&lt;25%,"N/A",IF(H4&lt;=($D$20+$B$20),H4,"Descartado"))))</f>
        <v>1131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10448</v>
      </c>
      <c r="I5" s="5">
        <f t="shared" si="0"/>
        <v>10448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11499.669227127071</v>
      </c>
      <c r="C20" s="18">
        <f>IF(H23&lt;2,"N/A",(B20/D20))</f>
        <v>0.96964523121451462</v>
      </c>
      <c r="D20" s="19">
        <f>AVERAGE(H3:H17)</f>
        <v>11859.666666666666</v>
      </c>
      <c r="E20" s="20">
        <f>IF(H23&lt;2,"N/A",(IF(C20&lt;=25%,"N/A",AVERAGE(I3:I17))))</f>
        <v>5789.5</v>
      </c>
      <c r="F20" s="19">
        <f>MEDIAN(H3:H17)</f>
        <v>10448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5789.5</v>
      </c>
      <c r="E22" s="78"/>
    </row>
    <row r="23" spans="1:9" x14ac:dyDescent="0.2">
      <c r="B23" s="77" t="s">
        <v>10</v>
      </c>
      <c r="C23" s="77"/>
      <c r="D23" s="78">
        <f>ROUND(D22,2)*F3</f>
        <v>5789.5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:I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91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183</v>
      </c>
      <c r="C3" s="64"/>
      <c r="D3" s="65"/>
      <c r="E3" s="75" t="s">
        <v>9</v>
      </c>
      <c r="F3" s="76">
        <v>1</v>
      </c>
      <c r="G3" s="4" t="s">
        <v>215</v>
      </c>
      <c r="H3" s="5">
        <f>1308*2</f>
        <v>2616</v>
      </c>
      <c r="I3" s="5">
        <f>IF(H3="","",(IF($C$20&lt;25%,"N/A",IF(H3&lt;=($D$20+$B$20),H3,"Descartado"))))</f>
        <v>2616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1508</v>
      </c>
      <c r="I4" s="5">
        <f t="shared" ref="I4:I17" si="0">IF(H4="","",(IF($C$20&lt;25%,"N/A",IF(H4&lt;=($D$20+$B$20),H4,"Descartado"))))</f>
        <v>1508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2761.602433370886</v>
      </c>
      <c r="C20" s="18">
        <f>IF(H23&lt;2,"N/A",(B20/D20))</f>
        <v>0.7620315765372202</v>
      </c>
      <c r="D20" s="19">
        <f>AVERAGE(H3:H17)</f>
        <v>3624</v>
      </c>
      <c r="E20" s="20">
        <f>IF(H23&lt;2,"N/A",(IF(C20&lt;=25%,"N/A",AVERAGE(I3:I17))))</f>
        <v>2062</v>
      </c>
      <c r="F20" s="19">
        <f>MEDIAN(H3:H17)</f>
        <v>2616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2062</v>
      </c>
      <c r="E22" s="78"/>
    </row>
    <row r="23" spans="1:9" x14ac:dyDescent="0.2">
      <c r="B23" s="77" t="s">
        <v>10</v>
      </c>
      <c r="C23" s="77"/>
      <c r="D23" s="78">
        <f>ROUND(D22,2)*F3</f>
        <v>2062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5" sqref="G5:H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184</v>
      </c>
      <c r="C3" s="64"/>
      <c r="D3" s="65"/>
      <c r="E3" s="75" t="s">
        <v>9</v>
      </c>
      <c r="F3" s="76">
        <v>1</v>
      </c>
      <c r="G3" s="4" t="s">
        <v>215</v>
      </c>
      <c r="H3" s="5">
        <f>3854.76*2</f>
        <v>7709.52</v>
      </c>
      <c r="I3" s="5">
        <f>IF(H3="","",(IF($C$20&lt;25%,"N/A",IF(H3&lt;=($D$20+$B$20),H3,"Descartado"))))</f>
        <v>7709.52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2545</v>
      </c>
      <c r="I4" s="5">
        <f t="shared" ref="I4:I17" si="0">IF(H4="","",(IF($C$20&lt;25%,"N/A",IF(H4&lt;=($D$20+$B$20),H4,"Descartado"))))</f>
        <v>2545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6916</v>
      </c>
      <c r="I5" s="5">
        <f t="shared" si="0"/>
        <v>6916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2781.114339636782</v>
      </c>
      <c r="C20" s="18">
        <f>IF(H23&lt;2,"N/A",(B20/D20))</f>
        <v>0.48591091119607011</v>
      </c>
      <c r="D20" s="19">
        <f>AVERAGE(H3:H17)</f>
        <v>5723.5066666666671</v>
      </c>
      <c r="E20" s="20">
        <f>IF(H23&lt;2,"N/A",(IF(C20&lt;=25%,"N/A",AVERAGE(I3:I17))))</f>
        <v>5723.5066666666671</v>
      </c>
      <c r="F20" s="19">
        <f>MEDIAN(H3:H17)</f>
        <v>6916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5723.5066666666671</v>
      </c>
      <c r="E22" s="78"/>
    </row>
    <row r="23" spans="1:9" x14ac:dyDescent="0.2">
      <c r="B23" s="77" t="s">
        <v>10</v>
      </c>
      <c r="C23" s="77"/>
      <c r="D23" s="78">
        <f>ROUND(D22,2)*F3</f>
        <v>5723.51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93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185</v>
      </c>
      <c r="C3" s="64"/>
      <c r="D3" s="65"/>
      <c r="E3" s="75" t="s">
        <v>9</v>
      </c>
      <c r="F3" s="76">
        <v>1</v>
      </c>
      <c r="G3" s="4" t="s">
        <v>215</v>
      </c>
      <c r="H3" s="5">
        <f>240*2</f>
        <v>480</v>
      </c>
      <c r="I3" s="5">
        <f>IF(H3="","",(IF($C$20&lt;25%,"N/A",IF(H3&lt;=($D$20+$B$20),H3,"Descartado"))))</f>
        <v>480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700</v>
      </c>
      <c r="I4" s="5">
        <f t="shared" ref="I4:I17" si="0">IF(H4="","",(IF($C$20&lt;25%,"N/A",IF(H4&lt;=($D$20+$B$20),H4,"Descartado"))))</f>
        <v>700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4"/>
      <c r="H6" s="43"/>
      <c r="I6" s="43"/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2809.2314488723305</v>
      </c>
      <c r="C20" s="18">
        <f>IF(H23&lt;2,"N/A",(B20/D20))</f>
        <v>1.2707621149904993</v>
      </c>
      <c r="D20" s="19">
        <f>AVERAGE(H3:H17)</f>
        <v>2210.6666666666665</v>
      </c>
      <c r="E20" s="20">
        <f>IF(H23&lt;2,"N/A",(IF(C20&lt;=25%,"N/A",AVERAGE(I3:I17))))</f>
        <v>590</v>
      </c>
      <c r="F20" s="19">
        <f>MEDIAN(H3:H17)</f>
        <v>700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590</v>
      </c>
      <c r="E22" s="78"/>
    </row>
    <row r="23" spans="1:9" x14ac:dyDescent="0.2">
      <c r="B23" s="77" t="s">
        <v>10</v>
      </c>
      <c r="C23" s="77"/>
      <c r="D23" s="78">
        <f>ROUND(D22,2)*F3</f>
        <v>590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94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186</v>
      </c>
      <c r="C3" s="64"/>
      <c r="D3" s="65"/>
      <c r="E3" s="75" t="s">
        <v>9</v>
      </c>
      <c r="F3" s="76">
        <v>1</v>
      </c>
      <c r="G3" s="4" t="s">
        <v>215</v>
      </c>
      <c r="H3" s="5">
        <f>25560*2</f>
        <v>51120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13670</v>
      </c>
      <c r="I4" s="5">
        <f t="shared" ref="I4:I17" si="0">IF(H4="","",(IF($C$20&lt;25%,"N/A",IF(H4&lt;=($D$20+$B$20),H4,"Descartado"))))</f>
        <v>13670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18604</v>
      </c>
      <c r="I5" s="5">
        <f t="shared" si="0"/>
        <v>18604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20347.551498890476</v>
      </c>
      <c r="C20" s="18">
        <f>IF(H23&lt;2,"N/A",(B20/D20))</f>
        <v>0.73197897326751837</v>
      </c>
      <c r="D20" s="19">
        <f>AVERAGE(H3:H17)</f>
        <v>27798</v>
      </c>
      <c r="E20" s="20">
        <f>IF(H23&lt;2,"N/A",(IF(C20&lt;=25%,"N/A",AVERAGE(I3:I17))))</f>
        <v>16137</v>
      </c>
      <c r="F20" s="19">
        <f>MEDIAN(H3:H17)</f>
        <v>18604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16137</v>
      </c>
      <c r="E22" s="78"/>
    </row>
    <row r="23" spans="1:9" x14ac:dyDescent="0.2">
      <c r="B23" s="77" t="s">
        <v>10</v>
      </c>
      <c r="C23" s="77"/>
      <c r="D23" s="78">
        <f>ROUND(D22,2)*F3</f>
        <v>16137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187</v>
      </c>
      <c r="C3" s="64"/>
      <c r="D3" s="65"/>
      <c r="E3" s="75" t="s">
        <v>9</v>
      </c>
      <c r="F3" s="76">
        <v>1</v>
      </c>
      <c r="G3" s="4" t="s">
        <v>215</v>
      </c>
      <c r="H3" s="5">
        <f>19397.16*2</f>
        <v>38794.32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11605</v>
      </c>
      <c r="I4" s="5">
        <f t="shared" ref="I4:I17" si="0">IF(H4="","",(IF($C$20&lt;25%,"N/A",IF(H4&lt;=($D$20+$B$20),H4,"Descartado"))))</f>
        <v>11605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14272</v>
      </c>
      <c r="I5" s="5">
        <f t="shared" si="0"/>
        <v>14272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14987.306791886705</v>
      </c>
      <c r="C20" s="18">
        <f>IF(H23&lt;2,"N/A",(B20/D20))</f>
        <v>0.69523740006636814</v>
      </c>
      <c r="D20" s="19">
        <f>AVERAGE(H3:H17)</f>
        <v>21557.106666666667</v>
      </c>
      <c r="E20" s="20">
        <f>IF(H23&lt;2,"N/A",(IF(C20&lt;=25%,"N/A",AVERAGE(I3:I17))))</f>
        <v>12938.5</v>
      </c>
      <c r="F20" s="19">
        <f>MEDIAN(H3:H17)</f>
        <v>14272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12938.5</v>
      </c>
      <c r="E22" s="78"/>
    </row>
    <row r="23" spans="1:9" x14ac:dyDescent="0.2">
      <c r="B23" s="77" t="s">
        <v>10</v>
      </c>
      <c r="C23" s="77"/>
      <c r="D23" s="78">
        <f>ROUND(D22,2)*F3</f>
        <v>12938.5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96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188</v>
      </c>
      <c r="C3" s="64"/>
      <c r="D3" s="65"/>
      <c r="E3" s="75" t="s">
        <v>9</v>
      </c>
      <c r="F3" s="76">
        <v>1</v>
      </c>
      <c r="G3" s="4" t="s">
        <v>215</v>
      </c>
      <c r="H3" s="5">
        <f>1161*2</f>
        <v>2322</v>
      </c>
      <c r="I3" s="5">
        <f>IF(H3="","",(IF($C$20&lt;25%,"N/A",IF(H3&lt;=($D$20+$B$20),H3,"Descartado"))))</f>
        <v>2322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805</v>
      </c>
      <c r="I4" s="5">
        <f t="shared" ref="I4:I17" si="0">IF(H4="","",(IF($C$20&lt;25%,"N/A",IF(H4&lt;=($D$20+$B$20),H4,"Descartado"))))</f>
        <v>805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2369.6975193752755</v>
      </c>
      <c r="C20" s="18">
        <f>IF(H23&lt;2,"N/A",(B20/D20))</f>
        <v>0.82866214688493145</v>
      </c>
      <c r="D20" s="19">
        <f>AVERAGE(H3:H17)</f>
        <v>2859.6666666666665</v>
      </c>
      <c r="E20" s="20">
        <f>IF(H23&lt;2,"N/A",(IF(C20&lt;=25%,"N/A",AVERAGE(I3:I17))))</f>
        <v>1563.5</v>
      </c>
      <c r="F20" s="19">
        <f>MEDIAN(H3:H17)</f>
        <v>2322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1563.5</v>
      </c>
      <c r="E22" s="78"/>
    </row>
    <row r="23" spans="1:9" x14ac:dyDescent="0.2">
      <c r="B23" s="77" t="s">
        <v>10</v>
      </c>
      <c r="C23" s="77"/>
      <c r="D23" s="78">
        <f>ROUND(D22,2)*F3</f>
        <v>1563.5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97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189</v>
      </c>
      <c r="C3" s="64"/>
      <c r="D3" s="65"/>
      <c r="E3" s="75" t="s">
        <v>9</v>
      </c>
      <c r="F3" s="76">
        <v>1</v>
      </c>
      <c r="G3" s="4" t="s">
        <v>215</v>
      </c>
      <c r="H3" s="5">
        <f>6312*2</f>
        <v>12624</v>
      </c>
      <c r="I3" s="5">
        <f>IF(H3="","",(IF($C$20&lt;25%,"N/A",IF(H3&lt;=($D$20+$B$20),H3,"Descartado"))))</f>
        <v>12624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3401</v>
      </c>
      <c r="I4" s="5">
        <f t="shared" ref="I4:I17" si="0">IF(H4="","",(IF($C$20&lt;25%,"N/A",IF(H4&lt;=($D$20+$B$20),H4,"Descartado"))))</f>
        <v>3401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10448</v>
      </c>
      <c r="I5" s="5">
        <f t="shared" si="0"/>
        <v>10448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4821.1152582502455</v>
      </c>
      <c r="C20" s="18">
        <f>IF(H23&lt;2,"N/A",(B20/D20))</f>
        <v>0.54634328465798121</v>
      </c>
      <c r="D20" s="19">
        <f>AVERAGE(H3:H17)</f>
        <v>8824.3333333333339</v>
      </c>
      <c r="E20" s="20">
        <f>IF(H23&lt;2,"N/A",(IF(C20&lt;=25%,"N/A",AVERAGE(I3:I17))))</f>
        <v>8824.3333333333339</v>
      </c>
      <c r="F20" s="19">
        <f>MEDIAN(H3:H17)</f>
        <v>10448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8824.3333333333339</v>
      </c>
      <c r="E22" s="78"/>
    </row>
    <row r="23" spans="1:9" x14ac:dyDescent="0.2">
      <c r="B23" s="77" t="s">
        <v>10</v>
      </c>
      <c r="C23" s="77"/>
      <c r="D23" s="78">
        <f>ROUND(D22,2)*F3</f>
        <v>8824.33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16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129</v>
      </c>
      <c r="C3" s="64"/>
      <c r="D3" s="65"/>
      <c r="E3" s="75" t="s">
        <v>9</v>
      </c>
      <c r="F3" s="76">
        <v>1</v>
      </c>
      <c r="G3" s="4" t="s">
        <v>215</v>
      </c>
      <c r="H3" s="5">
        <f>713.64*2</f>
        <v>1427.28</v>
      </c>
      <c r="I3" s="5">
        <f>IF(H3="","",(IF($C$20&lt;25%,"N/A",IF(H3&lt;=($D$20+$B$20),H3,"Descartado"))))</f>
        <v>1427.28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774.4</v>
      </c>
      <c r="I4" s="5">
        <f t="shared" ref="I4:I17" si="0">IF(H4="","",(IF($C$20&lt;25%,"N/A",IF(H4&lt;=($D$20+$B$20),H4,"Descartado"))))</f>
        <v>774.4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5900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2789.9597324692695</v>
      </c>
      <c r="C20" s="18">
        <f>IF(H23&lt;2,"N/A",(B20/D20))</f>
        <v>1.0331041459805632</v>
      </c>
      <c r="D20" s="19">
        <f>AVERAGE(H3:H17)</f>
        <v>2700.56</v>
      </c>
      <c r="E20" s="20">
        <f>IF(H23&lt;2,"N/A",(IF(C20&lt;=25%,"N/A",AVERAGE(I3:I17))))</f>
        <v>1100.8399999999999</v>
      </c>
      <c r="F20" s="19">
        <f>MEDIAN(H3:H17)</f>
        <v>1427.28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1100.8399999999999</v>
      </c>
      <c r="E22" s="78"/>
    </row>
    <row r="23" spans="1:9" x14ac:dyDescent="0.2">
      <c r="B23" s="77" t="s">
        <v>10</v>
      </c>
      <c r="C23" s="77"/>
      <c r="D23" s="78">
        <f>ROUND(D22,2)*F3</f>
        <v>1100.8399999999999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98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190</v>
      </c>
      <c r="C3" s="64"/>
      <c r="D3" s="65"/>
      <c r="E3" s="75" t="s">
        <v>9</v>
      </c>
      <c r="F3" s="76">
        <v>1</v>
      </c>
      <c r="G3" s="4" t="s">
        <v>215</v>
      </c>
      <c r="H3" s="5">
        <f>2304*2</f>
        <v>4608</v>
      </c>
      <c r="I3" s="5">
        <f>IF(H3="","",(IF($C$20&lt;25%,"N/A",IF(H3&lt;=($D$20+$B$20),H3,"Descartado"))))</f>
        <v>4608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2400</v>
      </c>
      <c r="I4" s="5">
        <f t="shared" ref="I4:I17" si="0">IF(H4="","",(IF($C$20&lt;25%,"N/A",IF(H4&lt;=($D$20+$B$20),H4,"Descartado"))))</f>
        <v>2400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2174.088621315454</v>
      </c>
      <c r="C20" s="18">
        <f>IF(H23&lt;2,"N/A",(B20/D20))</f>
        <v>0.47413971095858987</v>
      </c>
      <c r="D20" s="19">
        <f>AVERAGE(H3:H17)</f>
        <v>4585.333333333333</v>
      </c>
      <c r="E20" s="20">
        <f>IF(H23&lt;2,"N/A",(IF(C20&lt;=25%,"N/A",AVERAGE(I3:I17))))</f>
        <v>4585.333333333333</v>
      </c>
      <c r="F20" s="19">
        <f>MEDIAN(H3:H17)</f>
        <v>4608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4585.333333333333</v>
      </c>
      <c r="E22" s="78"/>
    </row>
    <row r="23" spans="1:9" x14ac:dyDescent="0.2">
      <c r="B23" s="77" t="s">
        <v>10</v>
      </c>
      <c r="C23" s="77"/>
      <c r="D23" s="78">
        <f>ROUND(D22,2)*F3</f>
        <v>4585.33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99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191</v>
      </c>
      <c r="C3" s="64"/>
      <c r="D3" s="65"/>
      <c r="E3" s="75" t="s">
        <v>9</v>
      </c>
      <c r="F3" s="76">
        <v>1</v>
      </c>
      <c r="G3" s="4" t="s">
        <v>215</v>
      </c>
      <c r="H3" s="5">
        <f>3696*2</f>
        <v>7392</v>
      </c>
      <c r="I3" s="5">
        <f>IF(H3="","",(IF($C$20&lt;25%,"N/A",IF(H3&lt;=($D$20+$B$20),H3,"Descartado"))))</f>
        <v>7392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2000</v>
      </c>
      <c r="I4" s="5">
        <f t="shared" ref="I4:I17" si="0">IF(H4="","",(IF($C$20&lt;25%,"N/A",IF(H4&lt;=($D$20+$B$20),H4,"Descartado"))))</f>
        <v>2000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3539.3988190086743</v>
      </c>
      <c r="C20" s="18">
        <f>IF(H23&lt;2,"N/A",(B20/D20))</f>
        <v>0.5879400031575871</v>
      </c>
      <c r="D20" s="19">
        <f>AVERAGE(H3:H17)</f>
        <v>6020</v>
      </c>
      <c r="E20" s="20">
        <f>IF(H23&lt;2,"N/A",(IF(C20&lt;=25%,"N/A",AVERAGE(I3:I17))))</f>
        <v>6020</v>
      </c>
      <c r="F20" s="19">
        <f>MEDIAN(H3:H17)</f>
        <v>7392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6020</v>
      </c>
      <c r="E22" s="78"/>
    </row>
    <row r="23" spans="1:9" x14ac:dyDescent="0.2">
      <c r="B23" s="77" t="s">
        <v>10</v>
      </c>
      <c r="C23" s="77"/>
      <c r="D23" s="78">
        <f>ROUND(D22,2)*F3</f>
        <v>6020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100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192</v>
      </c>
      <c r="C3" s="64"/>
      <c r="D3" s="65"/>
      <c r="E3" s="75" t="s">
        <v>9</v>
      </c>
      <c r="F3" s="76">
        <v>1</v>
      </c>
      <c r="G3" s="4" t="s">
        <v>215</v>
      </c>
      <c r="H3" s="5">
        <f>3600*2</f>
        <v>7200</v>
      </c>
      <c r="I3" s="5">
        <f>IF(H3="","",(IF($C$20&lt;25%,"N/A",IF(H3&lt;=($D$20+$B$20),H3,"Descartado"))))</f>
        <v>7200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2000</v>
      </c>
      <c r="I4" s="5">
        <f t="shared" ref="I4:I17" si="0">IF(H4="","",(IF($C$20&lt;25%,"N/A",IF(H4&lt;=($D$20+$B$20),H4,"Descartado"))))</f>
        <v>2000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3503.7419996341055</v>
      </c>
      <c r="C20" s="18">
        <f>IF(H23&lt;2,"N/A",(B20/D20))</f>
        <v>0.58827098717832527</v>
      </c>
      <c r="D20" s="19">
        <f>AVERAGE(H3:H17)</f>
        <v>5956</v>
      </c>
      <c r="E20" s="20">
        <f>IF(H23&lt;2,"N/A",(IF(C20&lt;=25%,"N/A",AVERAGE(I3:I17))))</f>
        <v>5956</v>
      </c>
      <c r="F20" s="19">
        <f>MEDIAN(H3:H17)</f>
        <v>7200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5956</v>
      </c>
      <c r="E22" s="78"/>
    </row>
    <row r="23" spans="1:9" x14ac:dyDescent="0.2">
      <c r="B23" s="77" t="s">
        <v>10</v>
      </c>
      <c r="C23" s="77"/>
      <c r="D23" s="78">
        <f>ROUND(D22,2)*F3</f>
        <v>5956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101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60"/>
      <c r="B3" s="63" t="s">
        <v>193</v>
      </c>
      <c r="C3" s="64"/>
      <c r="D3" s="65"/>
      <c r="E3" s="75" t="s">
        <v>9</v>
      </c>
      <c r="F3" s="76">
        <v>1</v>
      </c>
      <c r="G3" s="4" t="s">
        <v>215</v>
      </c>
      <c r="H3" s="5">
        <f>3060*2</f>
        <v>6120</v>
      </c>
      <c r="I3" s="5">
        <f>IF(H3="","",(IF($C$20&lt;25%,"N/A",IF(H3&lt;=($D$20+$B$20),H3,"Descartado"))))</f>
        <v>6120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2202</v>
      </c>
      <c r="I4" s="5">
        <f t="shared" ref="I4:I17" si="0">IF(H4="","",(IF($C$20&lt;25%,"N/A",IF(H4&lt;=($D$20+$B$20),H4,"Descartado"))))</f>
        <v>2202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6687</v>
      </c>
      <c r="I5" s="5">
        <f t="shared" si="0"/>
        <v>6687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2442.2475304522268</v>
      </c>
      <c r="C20" s="18">
        <f>IF(H23&lt;2,"N/A",(B20/D20))</f>
        <v>0.48815661212317146</v>
      </c>
      <c r="D20" s="19">
        <f>AVERAGE(H3:H17)</f>
        <v>5003</v>
      </c>
      <c r="E20" s="20">
        <f>IF(H23&lt;2,"N/A",(IF(C20&lt;=25%,"N/A",AVERAGE(I3:I17))))</f>
        <v>5003</v>
      </c>
      <c r="F20" s="19">
        <f>MEDIAN(H3:H17)</f>
        <v>6120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5003</v>
      </c>
      <c r="E22" s="78"/>
    </row>
    <row r="23" spans="1:9" x14ac:dyDescent="0.2">
      <c r="B23" s="77" t="s">
        <v>10</v>
      </c>
      <c r="C23" s="77"/>
      <c r="D23" s="78">
        <f>ROUND(D22,2)*F3</f>
        <v>5003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194</v>
      </c>
      <c r="C3" s="64"/>
      <c r="D3" s="65"/>
      <c r="E3" s="75" t="s">
        <v>9</v>
      </c>
      <c r="F3" s="76">
        <v>1</v>
      </c>
      <c r="G3" s="4" t="s">
        <v>215</v>
      </c>
      <c r="H3" s="5">
        <f>384*2</f>
        <v>768</v>
      </c>
      <c r="I3" s="5">
        <f>IF(H3="","",(IF($C$20&lt;25%,"N/A",IF(H3&lt;=($D$20+$B$20),H3,"Descartado"))))</f>
        <v>768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1405</v>
      </c>
      <c r="I4" s="5">
        <f t="shared" ref="I4:I17" si="0">IF(H4="","",(IF($C$20&lt;25%,"N/A",IF(H4&lt;=($D$20+$B$20),H4,"Descartado"))))</f>
        <v>1405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2540.4669518286069</v>
      </c>
      <c r="C20" s="18">
        <f>IF(H23&lt;2,"N/A",(B20/D20))</f>
        <v>0.99952798104732077</v>
      </c>
      <c r="D20" s="19">
        <f>AVERAGE(H3:H17)</f>
        <v>2541.6666666666665</v>
      </c>
      <c r="E20" s="20">
        <f>IF(H23&lt;2,"N/A",(IF(C20&lt;=25%,"N/A",AVERAGE(I3:I17))))</f>
        <v>1086.5</v>
      </c>
      <c r="F20" s="19">
        <f>MEDIAN(H3:H17)</f>
        <v>1405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1086.5</v>
      </c>
      <c r="E22" s="78"/>
    </row>
    <row r="23" spans="1:9" x14ac:dyDescent="0.2">
      <c r="B23" s="77" t="s">
        <v>10</v>
      </c>
      <c r="C23" s="77"/>
      <c r="D23" s="78">
        <f>ROUND(D22,2)*F3</f>
        <v>1086.5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103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195</v>
      </c>
      <c r="C3" s="64"/>
      <c r="D3" s="65"/>
      <c r="E3" s="75" t="s">
        <v>9</v>
      </c>
      <c r="F3" s="76">
        <v>1</v>
      </c>
      <c r="G3" s="4" t="s">
        <v>215</v>
      </c>
      <c r="H3" s="5">
        <f>4200*2</f>
        <v>8400</v>
      </c>
      <c r="I3" s="5">
        <f>IF(H3="","",(IF($C$20&lt;25%,"N/A",IF(H3&lt;=($D$20+$B$20),H3,"Descartado"))))</f>
        <v>8400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3684</v>
      </c>
      <c r="I4" s="5">
        <f t="shared" ref="I4:I17" si="0">IF(H4="","",(IF($C$20&lt;25%,"N/A",IF(H4&lt;=($D$20+$B$20),H4,"Descartado"))))</f>
        <v>3684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2803.3532302108001</v>
      </c>
      <c r="C20" s="18">
        <f>IF(H23&lt;2,"N/A",(B20/D20))</f>
        <v>0.40526501978760604</v>
      </c>
      <c r="D20" s="19">
        <f>AVERAGE(H3:H17)</f>
        <v>6917.333333333333</v>
      </c>
      <c r="E20" s="20">
        <f>IF(H23&lt;2,"N/A",(IF(C20&lt;=25%,"N/A",AVERAGE(I3:I17))))</f>
        <v>6917.333333333333</v>
      </c>
      <c r="F20" s="19">
        <f>MEDIAN(H3:H17)</f>
        <v>8400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6917.333333333333</v>
      </c>
      <c r="E22" s="78"/>
    </row>
    <row r="23" spans="1:9" x14ac:dyDescent="0.2">
      <c r="B23" s="77" t="s">
        <v>10</v>
      </c>
      <c r="C23" s="77"/>
      <c r="D23" s="78">
        <f>ROUND(D22,2)*F3</f>
        <v>6917.33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104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196</v>
      </c>
      <c r="C3" s="64"/>
      <c r="D3" s="65"/>
      <c r="E3" s="75" t="s">
        <v>9</v>
      </c>
      <c r="F3" s="76">
        <v>1</v>
      </c>
      <c r="G3" s="4" t="s">
        <v>215</v>
      </c>
      <c r="H3" s="5">
        <f>4044*2</f>
        <v>8088</v>
      </c>
      <c r="I3" s="5">
        <f>IF(H3="","",(IF($C$20&lt;25%,"N/A",IF(H3&lt;=($D$20+$B$20),H3,"Descartado"))))</f>
        <v>8088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3436.92</v>
      </c>
      <c r="I4" s="5">
        <f t="shared" ref="I4:I17" si="0">IF(H4="","",(IF($C$20&lt;25%,"N/A",IF(H4&lt;=($D$20+$B$20),H4,"Descartado"))))</f>
        <v>3436.92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2867.4362280848286</v>
      </c>
      <c r="C20" s="18">
        <f>IF(H23&lt;2,"N/A",(B20/D20))</f>
        <v>0.42600617861381546</v>
      </c>
      <c r="D20" s="19">
        <f>AVERAGE(H3:H17)</f>
        <v>6730.9733333333324</v>
      </c>
      <c r="E20" s="20">
        <f>IF(H23&lt;2,"N/A",(IF(C20&lt;=25%,"N/A",AVERAGE(I3:I17))))</f>
        <v>6730.9733333333324</v>
      </c>
      <c r="F20" s="19">
        <f>MEDIAN(H3:H17)</f>
        <v>8088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6730.9733333333324</v>
      </c>
      <c r="E22" s="78"/>
    </row>
    <row r="23" spans="1:9" x14ac:dyDescent="0.2">
      <c r="B23" s="77" t="s">
        <v>10</v>
      </c>
      <c r="C23" s="77"/>
      <c r="D23" s="78">
        <f>ROUND(D22,2)*F3</f>
        <v>6730.97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197</v>
      </c>
      <c r="C3" s="64"/>
      <c r="D3" s="65"/>
      <c r="E3" s="75" t="s">
        <v>9</v>
      </c>
      <c r="F3" s="76">
        <v>1</v>
      </c>
      <c r="G3" s="4" t="s">
        <v>215</v>
      </c>
      <c r="H3" s="5">
        <f>22380*2</f>
        <v>44760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10000</v>
      </c>
      <c r="I4" s="5">
        <f t="shared" ref="I4:I17" si="0">IF(H4="","",(IF($C$20&lt;25%,"N/A",IF(H4&lt;=($D$20+$B$20),H4,"Descartado"))))</f>
        <v>10000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14272</v>
      </c>
      <c r="I5" s="5">
        <f t="shared" si="0"/>
        <v>14272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18956.202713975534</v>
      </c>
      <c r="C20" s="18">
        <f>IF(H23&lt;2,"N/A",(B20/D20))</f>
        <v>0.82380067420799918</v>
      </c>
      <c r="D20" s="19">
        <f>AVERAGE(H3:H17)</f>
        <v>23010.666666666668</v>
      </c>
      <c r="E20" s="20">
        <f>IF(H23&lt;2,"N/A",(IF(C20&lt;=25%,"N/A",AVERAGE(I3:I17))))</f>
        <v>12136</v>
      </c>
      <c r="F20" s="19">
        <f>MEDIAN(H3:H17)</f>
        <v>14272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12136</v>
      </c>
      <c r="E22" s="78"/>
    </row>
    <row r="23" spans="1:9" x14ac:dyDescent="0.2">
      <c r="B23" s="77" t="s">
        <v>10</v>
      </c>
      <c r="C23" s="77"/>
      <c r="D23" s="78">
        <f>ROUND(D22,2)*F3</f>
        <v>12136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106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198</v>
      </c>
      <c r="C3" s="64"/>
      <c r="D3" s="65"/>
      <c r="E3" s="75" t="s">
        <v>9</v>
      </c>
      <c r="F3" s="76">
        <v>1</v>
      </c>
      <c r="G3" s="4" t="s">
        <v>215</v>
      </c>
      <c r="H3" s="5">
        <f>764.4*2</f>
        <v>1528.8</v>
      </c>
      <c r="I3" s="5">
        <f>IF(H3="","",(IF($C$20&lt;25%,"N/A",IF(H3&lt;=($D$20+$B$20),H3,"Descartado"))))</f>
        <v>1528.8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964.4</v>
      </c>
      <c r="I4" s="5">
        <f t="shared" ref="I4:I17" si="0">IF(H4="","",(IF($C$20&lt;25%,"N/A",IF(H4&lt;=($D$20+$B$20),H4,"Descartado"))))</f>
        <v>964.4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2444.3335615255132</v>
      </c>
      <c r="C20" s="18">
        <f>IF(H23&lt;2,"N/A",(B20/D20))</f>
        <v>0.9229472744017192</v>
      </c>
      <c r="D20" s="19">
        <f>AVERAGE(H3:H17)</f>
        <v>2648.4</v>
      </c>
      <c r="E20" s="20">
        <f>IF(H23&lt;2,"N/A",(IF(C20&lt;=25%,"N/A",AVERAGE(I3:I17))))</f>
        <v>1246.5999999999999</v>
      </c>
      <c r="F20" s="19">
        <f>MEDIAN(H3:H17)</f>
        <v>1528.8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1246.5999999999999</v>
      </c>
      <c r="E22" s="78"/>
    </row>
    <row r="23" spans="1:9" x14ac:dyDescent="0.2">
      <c r="B23" s="77" t="s">
        <v>10</v>
      </c>
      <c r="C23" s="77"/>
      <c r="D23" s="78">
        <f>ROUND(D22,2)*F3</f>
        <v>1246.5999999999999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107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199</v>
      </c>
      <c r="C3" s="64"/>
      <c r="D3" s="65"/>
      <c r="E3" s="75" t="s">
        <v>9</v>
      </c>
      <c r="F3" s="76">
        <v>1</v>
      </c>
      <c r="G3" s="4" t="s">
        <v>215</v>
      </c>
      <c r="H3" s="5">
        <f>1996.8*2</f>
        <v>3993.6</v>
      </c>
      <c r="I3" s="5">
        <f>IF(H3="","",(IF($C$20&lt;25%,"N/A",IF(H3&lt;=($D$20+$B$20),H3,"Descartado"))))</f>
        <v>3993.6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1508.7</v>
      </c>
      <c r="I4" s="5">
        <f t="shared" ref="I4:I17" si="0">IF(H4="","",(IF($C$20&lt;25%,"N/A",IF(H4&lt;=($D$20+$B$20),H4,"Descartado"))))</f>
        <v>1508.7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4906</v>
      </c>
      <c r="I5" s="5">
        <f t="shared" si="0"/>
        <v>4906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1758.2590376088881</v>
      </c>
      <c r="C20" s="18">
        <f>IF(H23&lt;2,"N/A",(B20/D20))</f>
        <v>0.50678565306790402</v>
      </c>
      <c r="D20" s="19">
        <f>AVERAGE(H3:H17)</f>
        <v>3469.4333333333329</v>
      </c>
      <c r="E20" s="20">
        <f>IF(H23&lt;2,"N/A",(IF(C20&lt;=25%,"N/A",AVERAGE(I3:I17))))</f>
        <v>3469.4333333333329</v>
      </c>
      <c r="F20" s="19">
        <f>MEDIAN(H3:H17)</f>
        <v>3993.6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3469.4333333333329</v>
      </c>
      <c r="E22" s="78"/>
    </row>
    <row r="23" spans="1:9" x14ac:dyDescent="0.2">
      <c r="B23" s="77" t="s">
        <v>10</v>
      </c>
      <c r="C23" s="77"/>
      <c r="D23" s="78">
        <f>ROUND(D22,2)*F3</f>
        <v>3469.43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17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130</v>
      </c>
      <c r="C3" s="64"/>
      <c r="D3" s="65"/>
      <c r="E3" s="75" t="s">
        <v>9</v>
      </c>
      <c r="F3" s="76">
        <v>1</v>
      </c>
      <c r="G3" s="4" t="s">
        <v>215</v>
      </c>
      <c r="H3" s="5">
        <f>4800*2</f>
        <v>9600</v>
      </c>
      <c r="I3" s="5">
        <f>IF(H3="","",(IF($C$20&lt;25%,"N/A",IF(H3&lt;=($D$20+$B$20),H3,"Descartado"))))</f>
        <v>9600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2730.2</v>
      </c>
      <c r="I4" s="5">
        <f t="shared" ref="I4:I17" si="0">IF(H4="","",(IF($C$20&lt;25%,"N/A",IF(H4&lt;=($D$20+$B$20),H4,"Descartado"))))</f>
        <v>2730.2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3726.4872842933451</v>
      </c>
      <c r="C20" s="18">
        <f>IF(H23&lt;2,"N/A",(B20/D20))</f>
        <v>0.53240096069568033</v>
      </c>
      <c r="D20" s="19">
        <f>AVERAGE(H3:H17)</f>
        <v>6999.4000000000005</v>
      </c>
      <c r="E20" s="20">
        <f>IF(H23&lt;2,"N/A",(IF(C20&lt;=25%,"N/A",AVERAGE(I3:I17))))</f>
        <v>6999.4000000000005</v>
      </c>
      <c r="F20" s="19">
        <f>MEDIAN(H3:H17)</f>
        <v>8668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6999.4000000000005</v>
      </c>
      <c r="E22" s="78"/>
    </row>
    <row r="23" spans="1:9" x14ac:dyDescent="0.2">
      <c r="B23" s="77" t="s">
        <v>10</v>
      </c>
      <c r="C23" s="77"/>
      <c r="D23" s="78">
        <f>ROUND(D22,2)*F3</f>
        <v>6999.4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108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200</v>
      </c>
      <c r="C3" s="64"/>
      <c r="D3" s="65"/>
      <c r="E3" s="75" t="s">
        <v>9</v>
      </c>
      <c r="F3" s="76">
        <v>1</v>
      </c>
      <c r="G3" s="4" t="s">
        <v>215</v>
      </c>
      <c r="H3" s="5">
        <f>912*2</f>
        <v>1824</v>
      </c>
      <c r="I3" s="5">
        <f>IF(H3="","",(IF($C$20&lt;25%,"N/A",IF(H3&lt;=($D$20+$B$20),H3,"Descartado"))))</f>
        <v>1824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1112</v>
      </c>
      <c r="I4" s="5">
        <f t="shared" ref="I4:I17" si="0">IF(H4="","",(IF($C$20&lt;25%,"N/A",IF(H4&lt;=($D$20+$B$20),H4,"Descartado"))))</f>
        <v>1112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2327.5497846447884</v>
      </c>
      <c r="C20" s="18">
        <f>IF(H23&lt;2,"N/A",(B20/D20))</f>
        <v>0.83245700452245652</v>
      </c>
      <c r="D20" s="19">
        <f>AVERAGE(H3:H17)</f>
        <v>2796</v>
      </c>
      <c r="E20" s="20">
        <f>IF(H23&lt;2,"N/A",(IF(C20&lt;=25%,"N/A",AVERAGE(I3:I17))))</f>
        <v>1468</v>
      </c>
      <c r="F20" s="19">
        <f>MEDIAN(H3:H17)</f>
        <v>1824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1468</v>
      </c>
      <c r="E22" s="78"/>
    </row>
    <row r="23" spans="1:9" x14ac:dyDescent="0.2">
      <c r="B23" s="77" t="s">
        <v>10</v>
      </c>
      <c r="C23" s="77"/>
      <c r="D23" s="78">
        <f>ROUND(D22,2)*F3</f>
        <v>1468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109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201</v>
      </c>
      <c r="C3" s="64"/>
      <c r="D3" s="65"/>
      <c r="E3" s="75" t="s">
        <v>9</v>
      </c>
      <c r="F3" s="76">
        <v>1</v>
      </c>
      <c r="G3" s="4" t="s">
        <v>215</v>
      </c>
      <c r="H3" s="5">
        <f>24000*2</f>
        <v>48000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10200</v>
      </c>
      <c r="I4" s="5">
        <f t="shared" ref="I4:I17" si="0">IF(H4="","",(IF($C$20&lt;25%,"N/A",IF(H4&lt;=($D$20+$B$20),H4,"Descartado"))))</f>
        <v>10200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14272</v>
      </c>
      <c r="I5" s="5">
        <f t="shared" si="0"/>
        <v>14272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7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20748.490579638157</v>
      </c>
      <c r="C20" s="18">
        <f>IF(H23&lt;2,"N/A",(B20/D20))</f>
        <v>0.85888994009982444</v>
      </c>
      <c r="D20" s="19">
        <f>AVERAGE(H3:H17)</f>
        <v>24157.333333333332</v>
      </c>
      <c r="E20" s="20">
        <f>IF(H23&lt;2,"N/A",(IF(C20&lt;=25%,"N/A",AVERAGE(I3:I17))))</f>
        <v>12236</v>
      </c>
      <c r="F20" s="19">
        <f>MEDIAN(H3:H17)</f>
        <v>14272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12236</v>
      </c>
      <c r="E22" s="78"/>
    </row>
    <row r="23" spans="1:9" x14ac:dyDescent="0.2">
      <c r="B23" s="77" t="s">
        <v>10</v>
      </c>
      <c r="C23" s="77"/>
      <c r="D23" s="78">
        <f>ROUND(D22,2)*F3</f>
        <v>12236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110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202</v>
      </c>
      <c r="C3" s="64"/>
      <c r="D3" s="65"/>
      <c r="E3" s="75" t="s">
        <v>9</v>
      </c>
      <c r="F3" s="76">
        <v>1</v>
      </c>
      <c r="G3" s="4" t="s">
        <v>215</v>
      </c>
      <c r="H3" s="5">
        <f>2486.88*2</f>
        <v>4973.76</v>
      </c>
      <c r="I3" s="5">
        <f>IF(H3="","",(IF($C$20&lt;25%,"N/A",IF(H3&lt;=($D$20+$B$20),H3,"Descartado"))))</f>
        <v>4973.76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2186.88</v>
      </c>
      <c r="I4" s="5">
        <f t="shared" ref="I4:I17" si="0">IF(H4="","",(IF($C$20&lt;25%,"N/A",IF(H4&lt;=($D$20+$B$20),H4,"Descartado"))))</f>
        <v>2186.88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5452</v>
      </c>
      <c r="I5" s="5">
        <f t="shared" si="0"/>
        <v>5452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1763.3501375884882</v>
      </c>
      <c r="C20" s="18">
        <f>IF(H23&lt;2,"N/A",(B20/D20))</f>
        <v>0.4194245148331725</v>
      </c>
      <c r="D20" s="19">
        <f>AVERAGE(H3:H17)</f>
        <v>4204.2133333333331</v>
      </c>
      <c r="E20" s="20">
        <f>IF(H23&lt;2,"N/A",(IF(C20&lt;=25%,"N/A",AVERAGE(I3:I17))))</f>
        <v>4204.2133333333331</v>
      </c>
      <c r="F20" s="19">
        <f>MEDIAN(H3:H17)</f>
        <v>4973.76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4204.2133333333331</v>
      </c>
      <c r="E22" s="78"/>
    </row>
    <row r="23" spans="1:9" x14ac:dyDescent="0.2">
      <c r="B23" s="77" t="s">
        <v>10</v>
      </c>
      <c r="C23" s="77"/>
      <c r="D23" s="78">
        <f>ROUND(D22,2)*F3</f>
        <v>4204.21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1.28515625" style="1" bestFit="1" customWidth="1"/>
    <col min="5" max="5" width="9.140625" style="1"/>
    <col min="6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111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203</v>
      </c>
      <c r="C3" s="64"/>
      <c r="D3" s="65"/>
      <c r="E3" s="75" t="s">
        <v>9</v>
      </c>
      <c r="F3" s="76">
        <v>1</v>
      </c>
      <c r="G3" s="4" t="s">
        <v>215</v>
      </c>
      <c r="H3" s="5">
        <f>16200*2</f>
        <v>32400</v>
      </c>
      <c r="I3" s="5" t="str">
        <f>IF(H3="","",(IF($C$20&lt;25%,"N/A",IF(H3&lt;=($D$20+$B$20),H3,"Descartado"))))</f>
        <v>Descartado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9984</v>
      </c>
      <c r="I4" s="5">
        <f t="shared" ref="I4:I17" si="0">IF(H4="","",(IF($C$20&lt;25%,"N/A",IF(H4&lt;=($D$20+$B$20),H4,"Descartado"))))</f>
        <v>9984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14272</v>
      </c>
      <c r="I5" s="5">
        <f t="shared" si="0"/>
        <v>14272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11898.798146591667</v>
      </c>
      <c r="C20" s="18">
        <f>IF(H23&lt;2,"N/A",(B20/D20))</f>
        <v>0.63005497104940344</v>
      </c>
      <c r="D20" s="19">
        <f>AVERAGE(H3:H17)</f>
        <v>18885.333333333332</v>
      </c>
      <c r="E20" s="20">
        <f>IF(H23&lt;2,"N/A",(IF(C20&lt;=25%,"N/A",AVERAGE(I3:I17))))</f>
        <v>12128</v>
      </c>
      <c r="F20" s="19">
        <f>MEDIAN(H3:H17)</f>
        <v>14272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12128</v>
      </c>
      <c r="E22" s="78"/>
    </row>
    <row r="23" spans="1:9" x14ac:dyDescent="0.2">
      <c r="B23" s="77" t="s">
        <v>10</v>
      </c>
      <c r="C23" s="77"/>
      <c r="D23" s="78">
        <f>ROUND(D22,2)*F3</f>
        <v>12128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204</v>
      </c>
      <c r="C3" s="64"/>
      <c r="D3" s="65"/>
      <c r="E3" s="75" t="s">
        <v>9</v>
      </c>
      <c r="F3" s="76">
        <v>1</v>
      </c>
      <c r="G3" s="4" t="s">
        <v>215</v>
      </c>
      <c r="H3" s="5">
        <f>3600*2</f>
        <v>7200</v>
      </c>
      <c r="I3" s="5">
        <f>IF(H3="","",(IF($C$20&lt;25%,"N/A",IF(H3&lt;=($D$20+$B$20),H3,"Descartado"))))</f>
        <v>7200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2957.4</v>
      </c>
      <c r="I4" s="5">
        <f t="shared" ref="I4:I17" si="0">IF(H4="","",(IF($C$20&lt;25%,"N/A",IF(H4&lt;=($D$20+$B$20),H4,"Descartado"))))</f>
        <v>2957.4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>
        <f t="shared" si="0"/>
        <v>6748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2329.9716421736389</v>
      </c>
      <c r="C20" s="18">
        <f>IF(H23&lt;2,"N/A",(B20/D20))</f>
        <v>0.41347231810669466</v>
      </c>
      <c r="D20" s="19">
        <f>AVERAGE(H3:H17)</f>
        <v>5635.1333333333341</v>
      </c>
      <c r="E20" s="20">
        <f>IF(H23&lt;2,"N/A",(IF(C20&lt;=25%,"N/A",AVERAGE(I3:I17))))</f>
        <v>5635.1333333333341</v>
      </c>
      <c r="F20" s="19">
        <f>MEDIAN(H3:H17)</f>
        <v>6748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5635.1333333333341</v>
      </c>
      <c r="E22" s="78"/>
    </row>
    <row r="23" spans="1:9" x14ac:dyDescent="0.2">
      <c r="B23" s="77" t="s">
        <v>10</v>
      </c>
      <c r="C23" s="77"/>
      <c r="D23" s="78">
        <f>ROUND(D22,2)*F3</f>
        <v>5635.13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113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x14ac:dyDescent="0.2">
      <c r="A3" s="60"/>
      <c r="B3" s="63" t="s">
        <v>205</v>
      </c>
      <c r="C3" s="64"/>
      <c r="D3" s="65"/>
      <c r="E3" s="75" t="s">
        <v>9</v>
      </c>
      <c r="F3" s="76">
        <v>1</v>
      </c>
      <c r="G3" s="4" t="s">
        <v>215</v>
      </c>
      <c r="H3" s="5">
        <f>1320*2</f>
        <v>2640</v>
      </c>
      <c r="I3" s="5">
        <f>IF(H3="","",(IF($C$20&lt;25%,"N/A",IF(H3&lt;=($D$20+$B$20),H3,"Descartado"))))</f>
        <v>2640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1520</v>
      </c>
      <c r="I4" s="5">
        <f t="shared" ref="I4:I17" si="0">IF(H4="","",(IF($C$20&lt;25%,"N/A",IF(H4&lt;=($D$20+$B$20),H4,"Descartado"))))</f>
        <v>1520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6648</v>
      </c>
      <c r="I5" s="5">
        <v>6648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2696.1345169210922</v>
      </c>
      <c r="C20" s="18">
        <f>IF(H23&lt;2,"N/A",(B20/D20))</f>
        <v>0.74837190514093976</v>
      </c>
      <c r="D20" s="19">
        <f>AVERAGE(H3:H17)</f>
        <v>3602.6666666666665</v>
      </c>
      <c r="E20" s="20">
        <f>IF(H23&lt;2,"N/A",(IF(C20&lt;=25%,"N/A",AVERAGE(I3:I17))))</f>
        <v>3602.6666666666665</v>
      </c>
      <c r="F20" s="19">
        <f>MEDIAN(H3:H17)</f>
        <v>2640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2640</v>
      </c>
      <c r="E22" s="78"/>
    </row>
    <row r="23" spans="1:9" x14ac:dyDescent="0.2">
      <c r="B23" s="77" t="s">
        <v>10</v>
      </c>
      <c r="C23" s="77"/>
      <c r="D23" s="78">
        <f>ROUND(D22,2)*F3</f>
        <v>2640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114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206</v>
      </c>
      <c r="C3" s="64"/>
      <c r="D3" s="65"/>
      <c r="E3" s="75" t="s">
        <v>9</v>
      </c>
      <c r="F3" s="76">
        <v>1</v>
      </c>
      <c r="G3" s="4" t="s">
        <v>215</v>
      </c>
      <c r="H3" s="5">
        <f>1800*2</f>
        <v>3600</v>
      </c>
      <c r="I3" s="5">
        <f>IF(H3="","",(IF($C$20&lt;25%,"N/A",IF(H3&lt;=($D$20+$B$20),H3,"Descartado"))))</f>
        <v>3600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1800</v>
      </c>
      <c r="I4" s="5">
        <f t="shared" ref="I4:I17" si="0">IF(H4="","",(IF($C$20&lt;25%,"N/A",IF(H4&lt;=($D$20+$B$20),H4,"Descartado"))))</f>
        <v>1800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6748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2504.4163658092743</v>
      </c>
      <c r="C20" s="18">
        <f>IF(H23&lt;2,"N/A",(B20/D20))</f>
        <v>0.61847621809580366</v>
      </c>
      <c r="D20" s="19">
        <f>AVERAGE(H3:H17)</f>
        <v>4049.3333333333335</v>
      </c>
      <c r="E20" s="20">
        <f>IF(H23&lt;2,"N/A",(IF(C20&lt;=25%,"N/A",AVERAGE(I3:I17))))</f>
        <v>2700</v>
      </c>
      <c r="F20" s="19">
        <f>MEDIAN(H3:H17)</f>
        <v>3600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2700</v>
      </c>
      <c r="E22" s="78"/>
    </row>
    <row r="23" spans="1:9" x14ac:dyDescent="0.2">
      <c r="B23" s="77" t="s">
        <v>10</v>
      </c>
      <c r="C23" s="77"/>
      <c r="D23" s="78">
        <f>ROUND(D22,2)*F3</f>
        <v>2700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115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207</v>
      </c>
      <c r="C3" s="64"/>
      <c r="D3" s="65"/>
      <c r="E3" s="75" t="s">
        <v>9</v>
      </c>
      <c r="F3" s="76">
        <v>1</v>
      </c>
      <c r="G3" s="4" t="s">
        <v>215</v>
      </c>
      <c r="H3" s="5">
        <f>2114.76*2</f>
        <v>4229.5200000000004</v>
      </c>
      <c r="I3" s="5">
        <f>IF(H3="","",(IF($C$20&lt;25%,"N/A",IF(H3&lt;=($D$20+$B$20),H3,"Descartado"))))</f>
        <v>4229.5200000000004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2114.7600000000002</v>
      </c>
      <c r="I4" s="5">
        <f t="shared" ref="I4:I17" si="0">IF(H4="","",(IF($C$20&lt;25%,"N/A",IF(H4&lt;=($D$20+$B$20),H4,"Descartado"))))</f>
        <v>2114.7600000000002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6849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2371.5998013155586</v>
      </c>
      <c r="C20" s="18">
        <f>IF(H23&lt;2,"N/A",(B20/D20))</f>
        <v>0.53927449458714405</v>
      </c>
      <c r="D20" s="19">
        <f>AVERAGE(H3:H17)</f>
        <v>4397.76</v>
      </c>
      <c r="E20" s="20">
        <f>IF(H23&lt;2,"N/A",(IF(C20&lt;=25%,"N/A",AVERAGE(I3:I17))))</f>
        <v>3172.1400000000003</v>
      </c>
      <c r="F20" s="19">
        <f>MEDIAN(H3:H17)</f>
        <v>4229.5200000000004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3172.1400000000003</v>
      </c>
      <c r="E22" s="78"/>
    </row>
    <row r="23" spans="1:9" x14ac:dyDescent="0.2">
      <c r="B23" s="77" t="s">
        <v>10</v>
      </c>
      <c r="C23" s="77"/>
      <c r="D23" s="78">
        <f>ROUND(D22,2)*F3</f>
        <v>3172.14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116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208</v>
      </c>
      <c r="C3" s="64"/>
      <c r="D3" s="65"/>
      <c r="E3" s="75" t="s">
        <v>9</v>
      </c>
      <c r="F3" s="76">
        <v>1</v>
      </c>
      <c r="G3" s="4" t="s">
        <v>215</v>
      </c>
      <c r="H3" s="5">
        <f>4777.8*2</f>
        <v>9555.6</v>
      </c>
      <c r="I3" s="5">
        <f>IF(H3="","",(IF($C$20&lt;25%,"N/A",IF(H3&lt;=($D$20+$B$20),H3,"Descartado"))))</f>
        <v>9555.6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3531.3</v>
      </c>
      <c r="I4" s="5">
        <f t="shared" ref="I4:I17" si="0">IF(H4="","",(IF($C$20&lt;25%,"N/A",IF(H4&lt;=($D$20+$B$20),H4,"Descartado"))))</f>
        <v>3531.3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8668</v>
      </c>
      <c r="I5" s="5">
        <f t="shared" si="0"/>
        <v>8668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3252.3250949641128</v>
      </c>
      <c r="C20" s="18">
        <f>IF(H23&lt;2,"N/A",(B20/D20))</f>
        <v>0.44849552445161034</v>
      </c>
      <c r="D20" s="19">
        <f>AVERAGE(H3:H17)</f>
        <v>7251.6333333333341</v>
      </c>
      <c r="E20" s="20">
        <f>IF(H23&lt;2,"N/A",(IF(C20&lt;=25%,"N/A",AVERAGE(I3:I17))))</f>
        <v>7251.6333333333341</v>
      </c>
      <c r="F20" s="19">
        <f>MEDIAN(H3:H17)</f>
        <v>8668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7251.6333333333341</v>
      </c>
      <c r="E22" s="78"/>
    </row>
    <row r="23" spans="1:9" x14ac:dyDescent="0.2">
      <c r="B23" s="77" t="s">
        <v>10</v>
      </c>
      <c r="C23" s="77"/>
      <c r="D23" s="78">
        <f>ROUND(D22,2)*F3</f>
        <v>7251.63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8" width="11.28515625" style="1" bestFit="1" customWidth="1"/>
    <col min="9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117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209</v>
      </c>
      <c r="C3" s="64"/>
      <c r="D3" s="65"/>
      <c r="E3" s="75" t="s">
        <v>9</v>
      </c>
      <c r="F3" s="76">
        <v>1</v>
      </c>
      <c r="G3" s="4" t="s">
        <v>215</v>
      </c>
      <c r="H3" s="5">
        <f>5100*2</f>
        <v>10200</v>
      </c>
      <c r="I3" s="5">
        <f>IF(H3="","",(IF($C$20&lt;25%,"N/A",IF(H3&lt;=($D$20+$B$20),H3,"Descartado"))))</f>
        <v>10200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4140</v>
      </c>
      <c r="I4" s="5">
        <f t="shared" ref="I4:I17" si="0">IF(H4="","",(IF($C$20&lt;25%,"N/A",IF(H4&lt;=($D$20+$B$20),H4,"Descartado"))))</f>
        <v>4140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8769</v>
      </c>
      <c r="I5" s="5">
        <f t="shared" si="0"/>
        <v>8769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3167.517482193271</v>
      </c>
      <c r="C20" s="18">
        <f>IF(H23&lt;2,"N/A",(B20/D20))</f>
        <v>0.41120569676661961</v>
      </c>
      <c r="D20" s="19">
        <f>AVERAGE(H3:H17)</f>
        <v>7703</v>
      </c>
      <c r="E20" s="20">
        <f>IF(H23&lt;2,"N/A",(IF(C20&lt;=25%,"N/A",AVERAGE(I3:I17))))</f>
        <v>7703</v>
      </c>
      <c r="F20" s="19">
        <f>MEDIAN(H3:H17)</f>
        <v>8769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7703</v>
      </c>
      <c r="E22" s="78"/>
    </row>
    <row r="23" spans="1:9" x14ac:dyDescent="0.2">
      <c r="B23" s="77" t="s">
        <v>10</v>
      </c>
      <c r="C23" s="77"/>
      <c r="D23" s="78">
        <f>ROUND(D22,2)*F3</f>
        <v>7703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B18" sqref="B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1.28515625" style="1" bestFit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18</v>
      </c>
      <c r="B2" s="60" t="s">
        <v>217</v>
      </c>
      <c r="C2" s="61"/>
      <c r="D2" s="62"/>
      <c r="E2" s="2" t="s">
        <v>1</v>
      </c>
      <c r="F2" s="2" t="s">
        <v>2</v>
      </c>
      <c r="G2" s="2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225</v>
      </c>
      <c r="C3" s="64"/>
      <c r="D3" s="65"/>
      <c r="E3" s="75" t="s">
        <v>9</v>
      </c>
      <c r="F3" s="76">
        <v>1</v>
      </c>
      <c r="G3" s="4" t="s">
        <v>215</v>
      </c>
      <c r="H3" s="5">
        <f>10284*2</f>
        <v>20568</v>
      </c>
      <c r="I3" s="5">
        <f>IF(H3="","",(IF($C$20&lt;25%,"N/A",IF(H3&lt;=($D$20+$B$20),H3,"Descartado"))))</f>
        <v>20568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5082</v>
      </c>
      <c r="I4" s="5">
        <f t="shared" ref="I4:I17" si="0">IF(H4="","",(IF($C$20&lt;25%,"N/A",IF(H4&lt;=($D$20+$B$20),H4,"Descartado"))))</f>
        <v>5082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14272</v>
      </c>
      <c r="I5" s="5">
        <f t="shared" si="0"/>
        <v>14272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7787.9384520766052</v>
      </c>
      <c r="C20" s="18">
        <f>IF(H23&lt;2,"N/A",(B20/D20))</f>
        <v>0.58523659526651506</v>
      </c>
      <c r="D20" s="19">
        <f>AVERAGE(H3:H17)</f>
        <v>13307.333333333334</v>
      </c>
      <c r="E20" s="20">
        <f>IF(H23&lt;2,"N/A",(IF(C20&lt;=25%,"N/A",AVERAGE(I3:I17))))</f>
        <v>13307.333333333334</v>
      </c>
      <c r="F20" s="19">
        <f>MEDIAN(H3:H17)</f>
        <v>14272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13307.333333333334</v>
      </c>
      <c r="E22" s="78"/>
    </row>
    <row r="23" spans="1:9" x14ac:dyDescent="0.2">
      <c r="B23" s="77" t="s">
        <v>10</v>
      </c>
      <c r="C23" s="77"/>
      <c r="D23" s="78">
        <f>ROUND(D22,2)*F3</f>
        <v>13307.33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118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210</v>
      </c>
      <c r="C3" s="64"/>
      <c r="D3" s="65"/>
      <c r="E3" s="75" t="s">
        <v>9</v>
      </c>
      <c r="F3" s="76">
        <v>1</v>
      </c>
      <c r="G3" s="4" t="s">
        <v>215</v>
      </c>
      <c r="H3" s="5">
        <f>3672*2</f>
        <v>7344</v>
      </c>
      <c r="I3" s="5">
        <f>IF(H3="","",(IF($C$20&lt;25%,"N/A",IF(H3&lt;=($D$20+$B$20),H3,"Descartado"))))</f>
        <v>7344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2280</v>
      </c>
      <c r="I4" s="5">
        <f t="shared" ref="I4:I17" si="0">IF(H4="","",(IF($C$20&lt;25%,"N/A",IF(H4&lt;=($D$20+$B$20),H4,"Descartado"))))</f>
        <v>2280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8469</v>
      </c>
      <c r="I5" s="5">
        <f t="shared" si="0"/>
        <v>8469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3296.8025418577922</v>
      </c>
      <c r="C20" s="18">
        <f>IF(H23&lt;2,"N/A",(B20/D20))</f>
        <v>0.54664276933473588</v>
      </c>
      <c r="D20" s="19">
        <f>AVERAGE(H3:H17)</f>
        <v>6031</v>
      </c>
      <c r="E20" s="20">
        <f>IF(H23&lt;2,"N/A",(IF(C20&lt;=25%,"N/A",AVERAGE(I3:I17))))</f>
        <v>6031</v>
      </c>
      <c r="F20" s="19">
        <f>MEDIAN(H3:H17)</f>
        <v>7344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6031</v>
      </c>
      <c r="E22" s="78"/>
    </row>
    <row r="23" spans="1:9" x14ac:dyDescent="0.2">
      <c r="B23" s="77" t="s">
        <v>10</v>
      </c>
      <c r="C23" s="77"/>
      <c r="D23" s="78">
        <f>ROUND(D22,2)*F3</f>
        <v>6031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119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211</v>
      </c>
      <c r="C3" s="64"/>
      <c r="D3" s="65"/>
      <c r="E3" s="75" t="s">
        <v>9</v>
      </c>
      <c r="F3" s="76">
        <v>1</v>
      </c>
      <c r="G3" s="4" t="s">
        <v>215</v>
      </c>
      <c r="H3" s="5">
        <f>1920*2</f>
        <v>3840</v>
      </c>
      <c r="I3" s="5">
        <f>IF(H3="","",(IF($C$20&lt;25%,"N/A",IF(H3&lt;=($D$20+$B$20),H3,"Descartado"))))</f>
        <v>3840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1620</v>
      </c>
      <c r="I4" s="5">
        <f t="shared" ref="I4:I17" si="0">IF(H4="","",(IF($C$20&lt;25%,"N/A",IF(H4&lt;=($D$20+$B$20),H4,"Descartado"))))</f>
        <v>1620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6749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2572.2014565996442</v>
      </c>
      <c r="C20" s="18">
        <f>IF(H23&lt;2,"N/A",(B20/D20))</f>
        <v>0.63204229419272118</v>
      </c>
      <c r="D20" s="19">
        <f>AVERAGE(H3:H17)</f>
        <v>4069.6666666666665</v>
      </c>
      <c r="E20" s="20">
        <f>IF(H23&lt;2,"N/A",(IF(C20&lt;=25%,"N/A",AVERAGE(I3:I17))))</f>
        <v>2730</v>
      </c>
      <c r="F20" s="19">
        <f>MEDIAN(H3:H17)</f>
        <v>3840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2730</v>
      </c>
      <c r="E22" s="78"/>
    </row>
    <row r="23" spans="1:9" x14ac:dyDescent="0.2">
      <c r="B23" s="77" t="s">
        <v>10</v>
      </c>
      <c r="C23" s="77"/>
      <c r="D23" s="78">
        <f>ROUND(D22,2)*F3</f>
        <v>2730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120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212</v>
      </c>
      <c r="C3" s="64"/>
      <c r="D3" s="65"/>
      <c r="E3" s="75" t="s">
        <v>9</v>
      </c>
      <c r="F3" s="76">
        <v>1</v>
      </c>
      <c r="G3" s="4" t="s">
        <v>215</v>
      </c>
      <c r="H3" s="5">
        <f>4500*2</f>
        <v>9000</v>
      </c>
      <c r="I3" s="5">
        <f>IF(H3="","",(IF($C$20&lt;25%,"N/A",IF(H3&lt;=($D$20+$B$20),H3,"Descartado"))))</f>
        <v>9000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2874</v>
      </c>
      <c r="I4" s="5">
        <f t="shared" ref="I4:I17" si="0">IF(H4="","",(IF($C$20&lt;25%,"N/A",IF(H4&lt;=($D$20+$B$20),H4,"Descartado"))))</f>
        <v>2874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8649</v>
      </c>
      <c r="I5" s="5">
        <f t="shared" si="0"/>
        <v>8649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3440.0024709293452</v>
      </c>
      <c r="C20" s="18">
        <f>IF(H23&lt;2,"N/A",(B20/D20))</f>
        <v>0.50285082165317141</v>
      </c>
      <c r="D20" s="19">
        <f>AVERAGE(H3:H17)</f>
        <v>6841</v>
      </c>
      <c r="E20" s="20">
        <f>IF(H23&lt;2,"N/A",(IF(C20&lt;=25%,"N/A",AVERAGE(I3:I17))))</f>
        <v>6841</v>
      </c>
      <c r="F20" s="19">
        <f>MEDIAN(H3:H17)</f>
        <v>8649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6841</v>
      </c>
      <c r="E22" s="78"/>
    </row>
    <row r="23" spans="1:9" x14ac:dyDescent="0.2">
      <c r="B23" s="77" t="s">
        <v>10</v>
      </c>
      <c r="C23" s="77"/>
      <c r="D23" s="78">
        <f>ROUND(D22,2)*F3</f>
        <v>6841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121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213</v>
      </c>
      <c r="C3" s="64"/>
      <c r="D3" s="65"/>
      <c r="E3" s="75" t="s">
        <v>9</v>
      </c>
      <c r="F3" s="76">
        <v>1</v>
      </c>
      <c r="G3" s="4" t="s">
        <v>215</v>
      </c>
      <c r="H3" s="5">
        <f>2100*2</f>
        <v>4200</v>
      </c>
      <c r="I3" s="5">
        <f>IF(H3="","",(IF($C$20&lt;25%,"N/A",IF(H3&lt;=($D$20+$B$20),H3,"Descartado"))))</f>
        <v>4200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2100</v>
      </c>
      <c r="I4" s="5">
        <f t="shared" ref="I4:I17" si="0">IF(H4="","",(IF($C$20&lt;25%,"N/A",IF(H4&lt;=($D$20+$B$20),H4,"Descartado"))))</f>
        <v>2100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6794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2351.3284188588655</v>
      </c>
      <c r="C20" s="18">
        <f>IF(H23&lt;2,"N/A",(B20/D20))</f>
        <v>0.53871889847079546</v>
      </c>
      <c r="D20" s="19">
        <f>AVERAGE(H3:H17)</f>
        <v>4364.666666666667</v>
      </c>
      <c r="E20" s="20">
        <f>IF(H23&lt;2,"N/A",(IF(C20&lt;=25%,"N/A",AVERAGE(I3:I17))))</f>
        <v>3150</v>
      </c>
      <c r="F20" s="19">
        <f>MEDIAN(H3:H17)</f>
        <v>4200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3150</v>
      </c>
      <c r="E22" s="78"/>
    </row>
    <row r="23" spans="1:9" x14ac:dyDescent="0.2">
      <c r="B23" s="77" t="s">
        <v>10</v>
      </c>
      <c r="C23" s="77"/>
      <c r="D23" s="78">
        <f>ROUND(D22,2)*F3</f>
        <v>3150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4" sqref="H4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72" t="s">
        <v>24</v>
      </c>
      <c r="B1" s="73"/>
      <c r="C1" s="73"/>
      <c r="D1" s="73"/>
      <c r="E1" s="73"/>
      <c r="F1" s="73"/>
      <c r="G1" s="73"/>
      <c r="H1" s="73"/>
      <c r="I1" s="74"/>
    </row>
    <row r="2" spans="1:9" x14ac:dyDescent="0.2">
      <c r="A2" s="60" t="s">
        <v>122</v>
      </c>
      <c r="B2" s="60" t="s">
        <v>217</v>
      </c>
      <c r="C2" s="61"/>
      <c r="D2" s="62"/>
      <c r="E2" s="41" t="s">
        <v>1</v>
      </c>
      <c r="F2" s="41" t="s">
        <v>2</v>
      </c>
      <c r="G2" s="41" t="s">
        <v>3</v>
      </c>
      <c r="H2" s="3" t="s">
        <v>4</v>
      </c>
      <c r="I2" s="26" t="s">
        <v>22</v>
      </c>
    </row>
    <row r="3" spans="1:9" ht="12.75" customHeight="1" x14ac:dyDescent="0.2">
      <c r="A3" s="60"/>
      <c r="B3" s="63" t="s">
        <v>214</v>
      </c>
      <c r="C3" s="64"/>
      <c r="D3" s="65"/>
      <c r="E3" s="75" t="s">
        <v>9</v>
      </c>
      <c r="F3" s="76">
        <v>1</v>
      </c>
      <c r="G3" s="4" t="s">
        <v>215</v>
      </c>
      <c r="H3" s="5">
        <f>1560*2</f>
        <v>3120</v>
      </c>
      <c r="I3" s="5">
        <f>IF(H3="","",(IF($C$20&lt;25%,"N/A",IF(H3&lt;=($D$20+$B$20),H3,"Descartado"))))</f>
        <v>3120</v>
      </c>
    </row>
    <row r="4" spans="1:9" x14ac:dyDescent="0.2">
      <c r="A4" s="60"/>
      <c r="B4" s="66"/>
      <c r="C4" s="67"/>
      <c r="D4" s="68"/>
      <c r="E4" s="75"/>
      <c r="F4" s="75"/>
      <c r="G4" s="4" t="s">
        <v>216</v>
      </c>
      <c r="H4" s="5">
        <v>1760</v>
      </c>
      <c r="I4" s="5">
        <f t="shared" ref="I4:I17" si="0">IF(H4="","",(IF($C$20&lt;25%,"N/A",IF(H4&lt;=($D$20+$B$20),H4,"Descartado"))))</f>
        <v>1760</v>
      </c>
    </row>
    <row r="5" spans="1:9" x14ac:dyDescent="0.2">
      <c r="A5" s="60"/>
      <c r="B5" s="66"/>
      <c r="C5" s="67"/>
      <c r="D5" s="68"/>
      <c r="E5" s="75"/>
      <c r="F5" s="75"/>
      <c r="G5" s="4" t="s">
        <v>218</v>
      </c>
      <c r="H5" s="5">
        <v>6894</v>
      </c>
      <c r="I5" s="5" t="str">
        <f t="shared" si="0"/>
        <v>Descartado</v>
      </c>
    </row>
    <row r="6" spans="1:9" x14ac:dyDescent="0.2">
      <c r="A6" s="60"/>
      <c r="B6" s="66"/>
      <c r="C6" s="67"/>
      <c r="D6" s="68"/>
      <c r="E6" s="75"/>
      <c r="F6" s="75"/>
      <c r="G6" s="4"/>
      <c r="H6" s="5"/>
      <c r="I6" s="5" t="str">
        <f t="shared" si="0"/>
        <v/>
      </c>
    </row>
    <row r="7" spans="1:9" x14ac:dyDescent="0.2">
      <c r="A7" s="60"/>
      <c r="B7" s="66"/>
      <c r="C7" s="67"/>
      <c r="D7" s="68"/>
      <c r="E7" s="75"/>
      <c r="F7" s="75"/>
      <c r="G7" s="4"/>
      <c r="H7" s="5"/>
      <c r="I7" s="5" t="str">
        <f t="shared" si="0"/>
        <v/>
      </c>
    </row>
    <row r="8" spans="1:9" x14ac:dyDescent="0.2">
      <c r="A8" s="60"/>
      <c r="B8" s="66"/>
      <c r="C8" s="67"/>
      <c r="D8" s="68"/>
      <c r="E8" s="75"/>
      <c r="F8" s="75"/>
      <c r="G8" s="4"/>
      <c r="H8" s="5"/>
      <c r="I8" s="5" t="str">
        <f t="shared" si="0"/>
        <v/>
      </c>
    </row>
    <row r="9" spans="1:9" x14ac:dyDescent="0.2">
      <c r="A9" s="60"/>
      <c r="B9" s="66"/>
      <c r="C9" s="67"/>
      <c r="D9" s="68"/>
      <c r="E9" s="75"/>
      <c r="F9" s="75"/>
      <c r="G9" s="4"/>
      <c r="H9" s="5"/>
      <c r="I9" s="5" t="str">
        <f t="shared" si="0"/>
        <v/>
      </c>
    </row>
    <row r="10" spans="1:9" x14ac:dyDescent="0.2">
      <c r="A10" s="60"/>
      <c r="B10" s="66"/>
      <c r="C10" s="67"/>
      <c r="D10" s="68"/>
      <c r="E10" s="75"/>
      <c r="F10" s="75"/>
      <c r="G10" s="4"/>
      <c r="H10" s="5"/>
      <c r="I10" s="5" t="str">
        <f t="shared" si="0"/>
        <v/>
      </c>
    </row>
    <row r="11" spans="1:9" x14ac:dyDescent="0.2">
      <c r="A11" s="60"/>
      <c r="B11" s="66"/>
      <c r="C11" s="67"/>
      <c r="D11" s="68"/>
      <c r="E11" s="75"/>
      <c r="F11" s="75"/>
      <c r="G11" s="4"/>
      <c r="H11" s="5"/>
      <c r="I11" s="5" t="str">
        <f t="shared" si="0"/>
        <v/>
      </c>
    </row>
    <row r="12" spans="1:9" x14ac:dyDescent="0.2">
      <c r="A12" s="60"/>
      <c r="B12" s="66"/>
      <c r="C12" s="67"/>
      <c r="D12" s="68"/>
      <c r="E12" s="75"/>
      <c r="F12" s="75"/>
      <c r="G12" s="4"/>
      <c r="H12" s="5"/>
      <c r="I12" s="5" t="str">
        <f t="shared" si="0"/>
        <v/>
      </c>
    </row>
    <row r="13" spans="1:9" x14ac:dyDescent="0.2">
      <c r="A13" s="60"/>
      <c r="B13" s="66"/>
      <c r="C13" s="67"/>
      <c r="D13" s="68"/>
      <c r="E13" s="75"/>
      <c r="F13" s="75"/>
      <c r="G13" s="4"/>
      <c r="H13" s="5"/>
      <c r="I13" s="5" t="str">
        <f t="shared" si="0"/>
        <v/>
      </c>
    </row>
    <row r="14" spans="1:9" x14ac:dyDescent="0.2">
      <c r="A14" s="60"/>
      <c r="B14" s="66"/>
      <c r="C14" s="67"/>
      <c r="D14" s="68"/>
      <c r="E14" s="75"/>
      <c r="F14" s="75"/>
      <c r="G14" s="4"/>
      <c r="H14" s="5"/>
      <c r="I14" s="5" t="str">
        <f t="shared" si="0"/>
        <v/>
      </c>
    </row>
    <row r="15" spans="1:9" x14ac:dyDescent="0.2">
      <c r="A15" s="60"/>
      <c r="B15" s="66"/>
      <c r="C15" s="67"/>
      <c r="D15" s="68"/>
      <c r="E15" s="75"/>
      <c r="F15" s="75"/>
      <c r="G15" s="4"/>
      <c r="H15" s="5"/>
      <c r="I15" s="5" t="str">
        <f t="shared" si="0"/>
        <v/>
      </c>
    </row>
    <row r="16" spans="1:9" x14ac:dyDescent="0.2">
      <c r="A16" s="60"/>
      <c r="B16" s="66"/>
      <c r="C16" s="67"/>
      <c r="D16" s="68"/>
      <c r="E16" s="75"/>
      <c r="F16" s="75"/>
      <c r="G16" s="4"/>
      <c r="H16" s="5"/>
      <c r="I16" s="5" t="str">
        <f t="shared" si="0"/>
        <v/>
      </c>
    </row>
    <row r="17" spans="1:9" x14ac:dyDescent="0.2">
      <c r="A17" s="60"/>
      <c r="B17" s="69"/>
      <c r="C17" s="70"/>
      <c r="D17" s="71"/>
      <c r="E17" s="75"/>
      <c r="F17" s="75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23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2659.907015918664</v>
      </c>
      <c r="C20" s="18">
        <f>IF(H23&lt;2,"N/A",(B20/D20))</f>
        <v>0.67774087376898184</v>
      </c>
      <c r="D20" s="19">
        <f>AVERAGE(H3:H17)</f>
        <v>3924.6666666666665</v>
      </c>
      <c r="E20" s="20">
        <f>IF(H23&lt;2,"N/A",(IF(C20&lt;=25%,"N/A",AVERAGE(I3:I17))))</f>
        <v>2440</v>
      </c>
      <c r="F20" s="19">
        <f>MEDIAN(H3:H17)</f>
        <v>3120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7" t="s">
        <v>32</v>
      </c>
      <c r="C22" s="77"/>
      <c r="D22" s="78">
        <f>IF(C20&lt;=25%,D20,MIN(E20:F20))</f>
        <v>2440</v>
      </c>
      <c r="E22" s="78"/>
    </row>
    <row r="23" spans="1:9" x14ac:dyDescent="0.2">
      <c r="B23" s="77" t="s">
        <v>10</v>
      </c>
      <c r="C23" s="77"/>
      <c r="D23" s="78">
        <f>ROUND(D22,2)*F3</f>
        <v>2440</v>
      </c>
      <c r="E23" s="78"/>
      <c r="G23" s="36" t="s">
        <v>41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51" t="s">
        <v>28</v>
      </c>
      <c r="B26" s="52"/>
      <c r="C26" s="52"/>
      <c r="D26" s="52"/>
      <c r="E26" s="52"/>
      <c r="F26" s="52"/>
      <c r="G26" s="52"/>
      <c r="H26" s="52"/>
      <c r="I26" s="53"/>
    </row>
    <row r="27" spans="1:9" x14ac:dyDescent="0.2">
      <c r="A27" s="54" t="s">
        <v>29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30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57" t="s">
        <v>26</v>
      </c>
      <c r="B29" s="58"/>
      <c r="C29" s="58"/>
      <c r="D29" s="58"/>
      <c r="E29" s="58"/>
      <c r="F29" s="58"/>
      <c r="G29" s="58"/>
      <c r="H29" s="58"/>
      <c r="I29" s="59"/>
    </row>
    <row r="30" spans="1:9" x14ac:dyDescent="0.2">
      <c r="A30" s="54" t="s">
        <v>27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31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48" t="s">
        <v>33</v>
      </c>
      <c r="B32" s="49"/>
      <c r="C32" s="49"/>
      <c r="D32" s="49"/>
      <c r="E32" s="49"/>
      <c r="F32" s="49"/>
      <c r="G32" s="49"/>
      <c r="H32" s="49"/>
      <c r="I32" s="50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1"/>
  <sheetViews>
    <sheetView tabSelected="1" zoomScaleNormal="100" workbookViewId="0">
      <selection activeCell="F17" sqref="F17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 x14ac:dyDescent="0.25">
      <c r="A1" s="82" t="s">
        <v>34</v>
      </c>
      <c r="B1" s="82"/>
      <c r="C1" s="82"/>
      <c r="D1" s="82"/>
      <c r="E1" s="82"/>
      <c r="F1" s="82"/>
    </row>
    <row r="2" spans="1:7" ht="25.5" x14ac:dyDescent="0.2">
      <c r="A2" s="34" t="s">
        <v>35</v>
      </c>
      <c r="B2" s="34" t="s">
        <v>36</v>
      </c>
      <c r="C2" s="34" t="s">
        <v>37</v>
      </c>
      <c r="D2" s="34" t="s">
        <v>38</v>
      </c>
      <c r="E2" s="34" t="s">
        <v>25</v>
      </c>
      <c r="F2" s="38" t="s">
        <v>39</v>
      </c>
    </row>
    <row r="3" spans="1:7" x14ac:dyDescent="0.2">
      <c r="A3" s="83" t="s">
        <v>219</v>
      </c>
      <c r="B3" s="84"/>
      <c r="C3" s="84"/>
      <c r="D3" s="84"/>
      <c r="E3" s="84"/>
      <c r="F3" s="85"/>
    </row>
    <row r="4" spans="1:7" x14ac:dyDescent="0.2">
      <c r="A4" s="30">
        <v>1</v>
      </c>
      <c r="B4" s="31" t="str">
        <f>Item1!B3</f>
        <v>Cícero Dantas (192.00 e 164.71 m²)</v>
      </c>
      <c r="C4" s="30" t="str">
        <f>Item1!E3</f>
        <v>unidade</v>
      </c>
      <c r="D4" s="30">
        <f>Item1!F3</f>
        <v>1</v>
      </c>
      <c r="E4" s="35">
        <f>Item1!D22</f>
        <v>4300.1333333333332</v>
      </c>
      <c r="F4" s="32">
        <f>(ROUND(E4,2)*D4)</f>
        <v>4300.13</v>
      </c>
      <c r="G4" s="40" t="str">
        <f>IF(F4&gt;80000,"necessária a subdivisão deste item em cotas!","")</f>
        <v/>
      </c>
    </row>
    <row r="5" spans="1:7" ht="15.75" customHeight="1" x14ac:dyDescent="0.2">
      <c r="A5" s="30">
        <v>2</v>
      </c>
      <c r="B5" s="31" t="str">
        <f>Item2!B3</f>
        <v xml:space="preserve">
Euclides da Cunha (220.52 e 220.53 m²)
</v>
      </c>
      <c r="C5" s="30" t="str">
        <f>Item2!E3</f>
        <v>unidade</v>
      </c>
      <c r="D5" s="30">
        <f>Item2!F3</f>
        <v>1</v>
      </c>
      <c r="E5" s="35">
        <f>Item2!D22</f>
        <v>4994.3599999999997</v>
      </c>
      <c r="F5" s="32">
        <f t="shared" ref="F5:F78" si="0">(ROUND(E5,2)*D5)</f>
        <v>4994.3599999999997</v>
      </c>
      <c r="G5" s="40" t="str">
        <f t="shared" ref="G5:G15" si="1">IF(F5&gt;80000,"necessária a subdivisão deste item em cotas!","")</f>
        <v/>
      </c>
    </row>
    <row r="6" spans="1:7" ht="13.5" customHeight="1" x14ac:dyDescent="0.2">
      <c r="A6" s="30">
        <v>3</v>
      </c>
      <c r="B6" s="31" t="str">
        <f>Item3!B3</f>
        <v xml:space="preserve">
Inhambupe (182.00 e 70.00 m²)
</v>
      </c>
      <c r="C6" s="30" t="str">
        <f>Item3!E3</f>
        <v>unidade</v>
      </c>
      <c r="D6" s="30">
        <f>Item3!F3</f>
        <v>1</v>
      </c>
      <c r="E6" s="35">
        <f>Item3!D22</f>
        <v>4041.6</v>
      </c>
      <c r="F6" s="32">
        <f t="shared" si="0"/>
        <v>4041.6</v>
      </c>
      <c r="G6" s="40" t="str">
        <f t="shared" si="1"/>
        <v/>
      </c>
    </row>
    <row r="7" spans="1:7" ht="13.5" customHeight="1" x14ac:dyDescent="0.2">
      <c r="A7" s="30">
        <v>4</v>
      </c>
      <c r="B7" s="31" t="str">
        <f>Item4!B3</f>
        <v xml:space="preserve">
Jeremoabo (234.60 e 161.60 m²)
</v>
      </c>
      <c r="C7" s="30" t="str">
        <f>Item4!E3</f>
        <v>unidade</v>
      </c>
      <c r="D7" s="30">
        <f>Item4!F3</f>
        <v>1</v>
      </c>
      <c r="E7" s="35">
        <f>Item4!D22</f>
        <v>5036.5999999999995</v>
      </c>
      <c r="F7" s="32">
        <f t="shared" si="0"/>
        <v>5036.6000000000004</v>
      </c>
      <c r="G7" s="40" t="str">
        <f t="shared" si="1"/>
        <v/>
      </c>
    </row>
    <row r="8" spans="1:7" ht="13.5" customHeight="1" x14ac:dyDescent="0.2">
      <c r="A8" s="30">
        <v>5</v>
      </c>
      <c r="B8" s="31" t="str">
        <f>Item5!B3</f>
        <v xml:space="preserve">
Monte Santo (207.10 e 145.50 m²)
</v>
      </c>
      <c r="C8" s="30" t="str">
        <f>Item5!E3</f>
        <v>unidade</v>
      </c>
      <c r="D8" s="30">
        <f>Item5!F3</f>
        <v>1</v>
      </c>
      <c r="E8" s="35">
        <f>Item5!D22</f>
        <v>4388.7</v>
      </c>
      <c r="F8" s="32">
        <f t="shared" si="0"/>
        <v>4388.7</v>
      </c>
      <c r="G8" s="40" t="str">
        <f t="shared" si="1"/>
        <v/>
      </c>
    </row>
    <row r="9" spans="1:7" ht="15" customHeight="1" x14ac:dyDescent="0.2">
      <c r="A9" s="30">
        <v>6</v>
      </c>
      <c r="B9" s="31" t="str">
        <f>Item6!B3</f>
        <v xml:space="preserve">
Nova Soure (101.00 e 101.00 m²)
</v>
      </c>
      <c r="C9" s="30" t="str">
        <f>Item6!E3</f>
        <v>unidade</v>
      </c>
      <c r="D9" s="30">
        <f>Item6!F3</f>
        <v>1</v>
      </c>
      <c r="E9" s="35">
        <f>Item6!D22</f>
        <v>1657.5</v>
      </c>
      <c r="F9" s="32">
        <f t="shared" si="0"/>
        <v>1657.5</v>
      </c>
      <c r="G9" s="40" t="str">
        <f t="shared" si="1"/>
        <v/>
      </c>
    </row>
    <row r="10" spans="1:7" ht="13.5" customHeight="1" x14ac:dyDescent="0.2">
      <c r="A10" s="30">
        <v>7</v>
      </c>
      <c r="B10" s="31" t="str">
        <f>Item7!B3</f>
        <v xml:space="preserve">
Olindina (59,47 e 59,47 m²)
</v>
      </c>
      <c r="C10" s="30" t="str">
        <f>Item7!E3</f>
        <v>unidade</v>
      </c>
      <c r="D10" s="30">
        <f>Item7!F3</f>
        <v>1</v>
      </c>
      <c r="E10" s="35">
        <f>Item7!D22</f>
        <v>1100.8399999999999</v>
      </c>
      <c r="F10" s="32">
        <f t="shared" si="0"/>
        <v>1100.8399999999999</v>
      </c>
      <c r="G10" s="40" t="str">
        <f t="shared" si="1"/>
        <v/>
      </c>
    </row>
    <row r="11" spans="1:7" ht="14.25" customHeight="1" x14ac:dyDescent="0.2">
      <c r="A11" s="30">
        <v>8</v>
      </c>
      <c r="B11" s="31" t="str">
        <f>Item8!B3</f>
        <v xml:space="preserve">
Paulo Afonso (400.00 e 270.00 m²)
</v>
      </c>
      <c r="C11" s="30" t="str">
        <f>Item8!E3</f>
        <v>unidade</v>
      </c>
      <c r="D11" s="30">
        <f>Item8!F3</f>
        <v>1</v>
      </c>
      <c r="E11" s="35">
        <f>Item8!D22</f>
        <v>6999.4000000000005</v>
      </c>
      <c r="F11" s="32">
        <f t="shared" si="0"/>
        <v>6999.4</v>
      </c>
      <c r="G11" s="40" t="str">
        <f t="shared" si="1"/>
        <v/>
      </c>
    </row>
    <row r="12" spans="1:7" ht="12.75" customHeight="1" x14ac:dyDescent="0.2">
      <c r="A12" s="30">
        <v>9</v>
      </c>
      <c r="B12" s="47" t="str">
        <f>Item9!B3</f>
        <v xml:space="preserve">Ribeira do Pombal (857.00 e 298.00 m²)
</v>
      </c>
      <c r="C12" s="30" t="str">
        <f>Item9!E3</f>
        <v>unidade</v>
      </c>
      <c r="D12" s="30">
        <f>Item9!F3</f>
        <v>1</v>
      </c>
      <c r="E12" s="35">
        <f>Item9!D22</f>
        <v>13307.333333333334</v>
      </c>
      <c r="F12" s="32">
        <f t="shared" si="0"/>
        <v>13307.33</v>
      </c>
      <c r="G12" s="40" t="str">
        <f t="shared" si="1"/>
        <v/>
      </c>
    </row>
    <row r="13" spans="1:7" ht="14.25" customHeight="1" x14ac:dyDescent="0.2">
      <c r="A13" s="30">
        <v>10</v>
      </c>
      <c r="B13" s="31" t="str">
        <f>Item10!B3</f>
        <v xml:space="preserve">
Rio Real (130.00 e 130.00 m²)
</v>
      </c>
      <c r="C13" s="30" t="str">
        <f>Item10!E3</f>
        <v>unidade</v>
      </c>
      <c r="D13" s="30">
        <f>Item10!F3</f>
        <v>1</v>
      </c>
      <c r="E13" s="35">
        <f>Item10!D22</f>
        <v>2001.1</v>
      </c>
      <c r="F13" s="32">
        <f t="shared" si="0"/>
        <v>2001.1</v>
      </c>
      <c r="G13" s="40" t="str">
        <f t="shared" si="1"/>
        <v/>
      </c>
    </row>
    <row r="14" spans="1:7" x14ac:dyDescent="0.2">
      <c r="A14" s="30">
        <v>11</v>
      </c>
      <c r="B14" s="31" t="str">
        <f>Item11!B3</f>
        <v>Serrinha (312.50 e 80.00 m²)</v>
      </c>
      <c r="C14" s="30" t="str">
        <f>Item11!E3</f>
        <v>unidade</v>
      </c>
      <c r="D14" s="30">
        <f>Item11!F3</f>
        <v>1</v>
      </c>
      <c r="E14" s="35">
        <f>Item11!D22</f>
        <v>3610.8</v>
      </c>
      <c r="F14" s="32">
        <f t="shared" si="0"/>
        <v>3610.8</v>
      </c>
      <c r="G14" s="40" t="str">
        <f t="shared" si="1"/>
        <v/>
      </c>
    </row>
    <row r="15" spans="1:7" x14ac:dyDescent="0.2">
      <c r="A15" s="30">
        <v>12</v>
      </c>
      <c r="B15" s="31" t="str">
        <f>Item12!B3</f>
        <v>Tucano (876.11 e 204.89 m²)</v>
      </c>
      <c r="C15" s="30" t="str">
        <f>Item12!E3</f>
        <v>unidade</v>
      </c>
      <c r="D15" s="30">
        <f>Item12!F3</f>
        <v>1</v>
      </c>
      <c r="E15" s="35">
        <f>Item12!D22</f>
        <v>7602.2</v>
      </c>
      <c r="F15" s="32">
        <f t="shared" si="0"/>
        <v>7602.2</v>
      </c>
      <c r="G15" s="40" t="str">
        <f t="shared" si="1"/>
        <v/>
      </c>
    </row>
    <row r="16" spans="1:7" x14ac:dyDescent="0.2">
      <c r="A16" s="30">
        <v>13</v>
      </c>
      <c r="B16" s="31" t="str">
        <f>Item13!B3</f>
        <v>Tucano (152.00 e 152.00 m²)</v>
      </c>
      <c r="C16" s="30" t="str">
        <f>Item13!E3</f>
        <v>unidade</v>
      </c>
      <c r="D16" s="30">
        <f>Item13!F3</f>
        <v>1</v>
      </c>
      <c r="E16" s="35">
        <f>Item13!D22</f>
        <v>2493.9</v>
      </c>
      <c r="F16" s="32">
        <f t="shared" si="0"/>
        <v>2493.9</v>
      </c>
      <c r="G16" s="40"/>
    </row>
    <row r="17" spans="1:7" x14ac:dyDescent="0.2">
      <c r="A17" s="79" t="s">
        <v>220</v>
      </c>
      <c r="B17" s="80"/>
      <c r="C17" s="80"/>
      <c r="D17" s="80"/>
      <c r="E17" s="81"/>
      <c r="F17" s="45">
        <f>SUM(F4:F16)</f>
        <v>61534.460000000006</v>
      </c>
      <c r="G17" s="40"/>
    </row>
    <row r="18" spans="1:7" x14ac:dyDescent="0.2">
      <c r="A18" s="83" t="s">
        <v>221</v>
      </c>
      <c r="B18" s="84"/>
      <c r="C18" s="84"/>
      <c r="D18" s="84"/>
      <c r="E18" s="84"/>
      <c r="F18" s="85"/>
      <c r="G18" s="40"/>
    </row>
    <row r="19" spans="1:7" x14ac:dyDescent="0.2">
      <c r="A19" s="30">
        <v>14</v>
      </c>
      <c r="B19" s="31" t="str">
        <f>Item14!B3</f>
        <v>Angical (163.60 e 163.60 m²)</v>
      </c>
      <c r="C19" s="30" t="str">
        <f>Item14!E3</f>
        <v>unidade</v>
      </c>
      <c r="D19" s="30">
        <f>Item14!F3</f>
        <v>1</v>
      </c>
      <c r="E19" s="35">
        <f>Item14!D22</f>
        <v>3885.3333333333335</v>
      </c>
      <c r="F19" s="32">
        <f t="shared" si="0"/>
        <v>3885.33</v>
      </c>
      <c r="G19" s="40"/>
    </row>
    <row r="20" spans="1:7" x14ac:dyDescent="0.2">
      <c r="A20" s="30">
        <v>15</v>
      </c>
      <c r="B20" s="31" t="str">
        <f>Item15!B3</f>
        <v>Barreiras (2148.00 e 510.45 m²)</v>
      </c>
      <c r="C20" s="30" t="str">
        <f>Item15!E3</f>
        <v>unidade</v>
      </c>
      <c r="D20" s="30">
        <f>Item15!F3</f>
        <v>1</v>
      </c>
      <c r="E20" s="35">
        <f>Item15!D22</f>
        <v>9819.67</v>
      </c>
      <c r="F20" s="32">
        <f t="shared" si="0"/>
        <v>9819.67</v>
      </c>
      <c r="G20" s="40"/>
    </row>
    <row r="21" spans="1:7" x14ac:dyDescent="0.2">
      <c r="A21" s="30">
        <v>16</v>
      </c>
      <c r="B21" s="31" t="str">
        <f>Item16!B3</f>
        <v>Brumado (975.52 e 298.00 m²)</v>
      </c>
      <c r="C21" s="30" t="str">
        <f>Item16!E3</f>
        <v>unidade</v>
      </c>
      <c r="D21" s="30">
        <f>Item16!F3</f>
        <v>1</v>
      </c>
      <c r="E21" s="35">
        <f>Item16!D22</f>
        <v>6497.52</v>
      </c>
      <c r="F21" s="32">
        <f t="shared" si="0"/>
        <v>6497.52</v>
      </c>
      <c r="G21" s="40"/>
    </row>
    <row r="22" spans="1:7" x14ac:dyDescent="0.2">
      <c r="A22" s="30">
        <v>17</v>
      </c>
      <c r="B22" s="31" t="str">
        <f>Item17!B3</f>
        <v>Caculé (75.00 e 75.00 m²)</v>
      </c>
      <c r="C22" s="30" t="str">
        <f>Item17!E3</f>
        <v>unidade</v>
      </c>
      <c r="D22" s="30">
        <f>Item17!F3</f>
        <v>1</v>
      </c>
      <c r="E22" s="35">
        <f>Item17!D22</f>
        <v>1050</v>
      </c>
      <c r="F22" s="32">
        <f t="shared" si="0"/>
        <v>1050</v>
      </c>
      <c r="G22" s="40"/>
    </row>
    <row r="23" spans="1:7" x14ac:dyDescent="0.2">
      <c r="A23" s="30">
        <v>18</v>
      </c>
      <c r="B23" s="31" t="str">
        <f>Item18!B3</f>
        <v>Guanambi (3757.20 e 1105.00 m²)</v>
      </c>
      <c r="C23" s="30" t="str">
        <f>Item18!E3</f>
        <v>unidade</v>
      </c>
      <c r="D23" s="30">
        <f>Item18!F3</f>
        <v>1</v>
      </c>
      <c r="E23" s="35">
        <f>Item18!D22</f>
        <v>14164.2</v>
      </c>
      <c r="F23" s="32">
        <f t="shared" si="0"/>
        <v>14164.2</v>
      </c>
      <c r="G23" s="40"/>
    </row>
    <row r="24" spans="1:7" x14ac:dyDescent="0.2">
      <c r="A24" s="30">
        <v>19</v>
      </c>
      <c r="B24" s="31" t="str">
        <f>Item19!B3</f>
        <v>Ibotirama (450.00 e 65.00 m²)</v>
      </c>
      <c r="C24" s="30" t="str">
        <f>Item19!E3</f>
        <v>unidade</v>
      </c>
      <c r="D24" s="30">
        <f>Item19!F3</f>
        <v>1</v>
      </c>
      <c r="E24" s="35">
        <f>Item19!D22</f>
        <v>7004.333333333333</v>
      </c>
      <c r="F24" s="32">
        <f t="shared" si="0"/>
        <v>7004.33</v>
      </c>
      <c r="G24" s="40"/>
    </row>
    <row r="25" spans="1:7" x14ac:dyDescent="0.2">
      <c r="A25" s="30">
        <v>20</v>
      </c>
      <c r="B25" s="31" t="str">
        <f>Item20!B3</f>
        <v>Igaporã (216.00 e 84.00 m²)</v>
      </c>
      <c r="C25" s="30" t="str">
        <f>Item20!E3</f>
        <v>unidade</v>
      </c>
      <c r="D25" s="30">
        <f>Item20!F3</f>
        <v>1</v>
      </c>
      <c r="E25" s="35">
        <f>Item20!D22</f>
        <v>4817.333333333333</v>
      </c>
      <c r="F25" s="32">
        <f t="shared" si="0"/>
        <v>4817.33</v>
      </c>
      <c r="G25" s="40"/>
    </row>
    <row r="26" spans="1:7" x14ac:dyDescent="0.2">
      <c r="A26" s="30">
        <v>21</v>
      </c>
      <c r="B26" s="31" t="str">
        <f>Item21!B3</f>
        <v>Jacaraci (163.00 e 164.00 m²)</v>
      </c>
      <c r="C26" s="30" t="str">
        <f>Item21!E3</f>
        <v>unidade</v>
      </c>
      <c r="D26" s="30">
        <f>Item21!F3</f>
        <v>1</v>
      </c>
      <c r="E26" s="35">
        <f>Item21!D22</f>
        <v>3771.3333333333335</v>
      </c>
      <c r="F26" s="32">
        <f t="shared" si="0"/>
        <v>3771.33</v>
      </c>
      <c r="G26" s="40"/>
    </row>
    <row r="27" spans="1:7" x14ac:dyDescent="0.2">
      <c r="A27" s="30">
        <v>22</v>
      </c>
      <c r="B27" s="31" t="str">
        <f>Item22!B3</f>
        <v>Livramento de Nossa Senhora (140.00 e 140.00 m²)</v>
      </c>
      <c r="C27" s="30" t="str">
        <f>Item22!E3</f>
        <v>unidade</v>
      </c>
      <c r="D27" s="30">
        <f>Item22!F3</f>
        <v>1</v>
      </c>
      <c r="E27" s="35">
        <f>Item22!D22</f>
        <v>1960</v>
      </c>
      <c r="F27" s="32">
        <f t="shared" si="0"/>
        <v>1960</v>
      </c>
      <c r="G27" s="40"/>
    </row>
    <row r="28" spans="1:7" x14ac:dyDescent="0.2">
      <c r="A28" s="30">
        <v>23</v>
      </c>
      <c r="B28" s="31" t="str">
        <f>Item23!B3</f>
        <v>Luís Eduardo Magalhães (196.50 e 137,48 m²)</v>
      </c>
      <c r="C28" s="30" t="str">
        <f>Item23!E3</f>
        <v>unidade</v>
      </c>
      <c r="D28" s="30">
        <f>Item23!F3</f>
        <v>1</v>
      </c>
      <c r="E28" s="35">
        <f>Item23!D22</f>
        <v>4155.3133333333335</v>
      </c>
      <c r="F28" s="32">
        <f t="shared" si="0"/>
        <v>4155.3100000000004</v>
      </c>
      <c r="G28" s="40"/>
    </row>
    <row r="29" spans="1:7" x14ac:dyDescent="0.2">
      <c r="A29" s="30">
        <v>24</v>
      </c>
      <c r="B29" s="31" t="str">
        <f>Item24!B3</f>
        <v>Paramirim (300.00 e 110.60 m²)</v>
      </c>
      <c r="C29" s="30" t="str">
        <f>Item24!E3</f>
        <v>unidade</v>
      </c>
      <c r="D29" s="30">
        <f>Item24!F3</f>
        <v>1</v>
      </c>
      <c r="E29" s="35">
        <f>Item24!D22</f>
        <v>5563.0666666666666</v>
      </c>
      <c r="F29" s="32">
        <f t="shared" si="0"/>
        <v>5563.07</v>
      </c>
      <c r="G29" s="40"/>
    </row>
    <row r="30" spans="1:7" x14ac:dyDescent="0.2">
      <c r="A30" s="30">
        <v>25</v>
      </c>
      <c r="B30" s="31" t="str">
        <f>Item25!B3</f>
        <v>Riacho de Santana (358.00 e 308.00 m²)</v>
      </c>
      <c r="C30" s="30" t="str">
        <f>Item25!E3</f>
        <v>unidade</v>
      </c>
      <c r="D30" s="30">
        <f>Item25!F3</f>
        <v>1</v>
      </c>
      <c r="E30" s="35">
        <f>Item25!D22</f>
        <v>6197.333333333333</v>
      </c>
      <c r="F30" s="32">
        <f t="shared" si="0"/>
        <v>6197.33</v>
      </c>
      <c r="G30" s="40"/>
    </row>
    <row r="31" spans="1:7" x14ac:dyDescent="0.2">
      <c r="A31" s="30">
        <v>26</v>
      </c>
      <c r="B31" s="31" t="str">
        <f>Item26!B3</f>
        <v>Seabra (960.00 e 320.40 m²)</v>
      </c>
      <c r="C31" s="30" t="str">
        <f>Item26!E3</f>
        <v>unidade</v>
      </c>
      <c r="D31" s="30">
        <f>Item26!F3</f>
        <v>1</v>
      </c>
      <c r="E31" s="35">
        <f>Item26!D22</f>
        <v>7144.6</v>
      </c>
      <c r="F31" s="32">
        <f t="shared" si="0"/>
        <v>7144.6</v>
      </c>
      <c r="G31" s="40"/>
    </row>
    <row r="32" spans="1:7" x14ac:dyDescent="0.2">
      <c r="A32" s="79" t="s">
        <v>222</v>
      </c>
      <c r="B32" s="80"/>
      <c r="C32" s="80"/>
      <c r="D32" s="80"/>
      <c r="E32" s="81"/>
      <c r="F32" s="45">
        <f>SUM(F19:F31)</f>
        <v>76030.02</v>
      </c>
      <c r="G32" s="40"/>
    </row>
    <row r="33" spans="1:7" x14ac:dyDescent="0.2">
      <c r="A33" s="83" t="s">
        <v>224</v>
      </c>
      <c r="B33" s="84"/>
      <c r="C33" s="84"/>
      <c r="D33" s="84"/>
      <c r="E33" s="84"/>
      <c r="F33" s="85"/>
      <c r="G33" s="40"/>
    </row>
    <row r="34" spans="1:7" x14ac:dyDescent="0.2">
      <c r="A34" s="30">
        <v>27</v>
      </c>
      <c r="B34" s="31" t="str">
        <f>Item27!B3</f>
        <v>Condeúba (32.90 e 32.00 m²)</v>
      </c>
      <c r="C34" s="30" t="str">
        <f>Item27!E3</f>
        <v>unidade</v>
      </c>
      <c r="D34" s="30">
        <f>Item27!F3</f>
        <v>1</v>
      </c>
      <c r="E34" s="35">
        <f>Item27!D22</f>
        <v>634.93000000000006</v>
      </c>
      <c r="F34" s="32">
        <f t="shared" si="0"/>
        <v>634.92999999999995</v>
      </c>
      <c r="G34" s="40"/>
    </row>
    <row r="35" spans="1:7" x14ac:dyDescent="0.2">
      <c r="A35" s="30">
        <v>28</v>
      </c>
      <c r="B35" s="31" t="str">
        <f>Item28!B3</f>
        <v>Encruzilhada (151.60 e 83.84 m²)</v>
      </c>
      <c r="C35" s="30" t="str">
        <f>Item28!E3</f>
        <v>unidade</v>
      </c>
      <c r="D35" s="30">
        <f>Item28!F3</f>
        <v>1</v>
      </c>
      <c r="E35" s="35">
        <f>Item28!D22</f>
        <v>2454.88</v>
      </c>
      <c r="F35" s="32">
        <f t="shared" si="0"/>
        <v>2454.88</v>
      </c>
      <c r="G35" s="40"/>
    </row>
    <row r="36" spans="1:7" x14ac:dyDescent="0.2">
      <c r="A36" s="30">
        <v>29</v>
      </c>
      <c r="B36" s="31" t="str">
        <f>Item29!B3</f>
        <v>Jequié (2.000.00 e 743.45 m²)</v>
      </c>
      <c r="C36" s="30" t="str">
        <f>Item29!E3</f>
        <v>unidade</v>
      </c>
      <c r="D36" s="30">
        <f>Item29!F3</f>
        <v>1</v>
      </c>
      <c r="E36" s="35">
        <f>Item29!D22</f>
        <v>7077.45</v>
      </c>
      <c r="F36" s="32">
        <f t="shared" si="0"/>
        <v>7077.45</v>
      </c>
      <c r="G36" s="40"/>
    </row>
    <row r="37" spans="1:7" x14ac:dyDescent="0.2">
      <c r="A37" s="30">
        <v>30</v>
      </c>
      <c r="B37" s="31" t="str">
        <f>Item30!B3</f>
        <v>Jequié (312.00 e 312.00 m²)</v>
      </c>
      <c r="C37" s="30" t="str">
        <f>Item30!E3</f>
        <v>unidade</v>
      </c>
      <c r="D37" s="30">
        <f>Item30!F3</f>
        <v>1</v>
      </c>
      <c r="E37" s="35">
        <f>Item30!D22</f>
        <v>5161.333333333333</v>
      </c>
      <c r="F37" s="32">
        <f t="shared" si="0"/>
        <v>5161.33</v>
      </c>
      <c r="G37" s="40"/>
    </row>
    <row r="38" spans="1:7" x14ac:dyDescent="0.2">
      <c r="A38" s="30">
        <v>31</v>
      </c>
      <c r="B38" s="31" t="str">
        <f>Item31!B3</f>
        <v>Itambé (263,12 e 263,12 m²)</v>
      </c>
      <c r="C38" s="30" t="str">
        <f>Item30!E3</f>
        <v>unidade</v>
      </c>
      <c r="D38" s="30">
        <f>Item30!F3</f>
        <v>1</v>
      </c>
      <c r="E38" s="35">
        <f>Item31!D22</f>
        <v>5049.333333333333</v>
      </c>
      <c r="F38" s="32">
        <f t="shared" si="0"/>
        <v>5049.33</v>
      </c>
      <c r="G38" s="40"/>
    </row>
    <row r="39" spans="1:7" x14ac:dyDescent="0.2">
      <c r="A39" s="30">
        <v>32</v>
      </c>
      <c r="B39" s="31" t="str">
        <f>Item32!B3</f>
        <v>Maracás (155.00 e 155.00 m²)</v>
      </c>
      <c r="C39" s="30" t="str">
        <f>Item32!E3</f>
        <v>unidade</v>
      </c>
      <c r="D39" s="30">
        <f>Item32!F3</f>
        <v>1</v>
      </c>
      <c r="E39" s="35">
        <f>Item32!D22</f>
        <v>2635</v>
      </c>
      <c r="F39" s="32">
        <f t="shared" si="0"/>
        <v>2635</v>
      </c>
      <c r="G39" s="40"/>
    </row>
    <row r="40" spans="1:7" x14ac:dyDescent="0.2">
      <c r="A40" s="30">
        <v>33</v>
      </c>
      <c r="B40" s="31" t="str">
        <f>Item33!B3</f>
        <v>Poções (257.65 e 139.75 m²)</v>
      </c>
      <c r="C40" s="30" t="str">
        <f>Item33!E3</f>
        <v>unidade</v>
      </c>
      <c r="D40" s="30">
        <f>Item33!F3</f>
        <v>1</v>
      </c>
      <c r="E40" s="35">
        <f>Item33!D22</f>
        <v>4575.4666666666672</v>
      </c>
      <c r="F40" s="32">
        <f t="shared" si="0"/>
        <v>4575.47</v>
      </c>
      <c r="G40" s="40"/>
    </row>
    <row r="41" spans="1:7" x14ac:dyDescent="0.2">
      <c r="A41" s="30">
        <v>34</v>
      </c>
      <c r="B41" s="31" t="str">
        <f>Item34!B3</f>
        <v>Vitória da Conquista (2832.40 e 1025.75 m²)</v>
      </c>
      <c r="C41" s="30" t="str">
        <f>Item34!E3</f>
        <v>unidade</v>
      </c>
      <c r="D41" s="30">
        <f>Item34!F3</f>
        <v>1</v>
      </c>
      <c r="E41" s="35">
        <f>Item34!D22</f>
        <v>10979.15</v>
      </c>
      <c r="F41" s="32">
        <f t="shared" si="0"/>
        <v>10979.15</v>
      </c>
      <c r="G41" s="40"/>
    </row>
    <row r="42" spans="1:7" x14ac:dyDescent="0.2">
      <c r="A42" s="79" t="s">
        <v>223</v>
      </c>
      <c r="B42" s="80"/>
      <c r="C42" s="80"/>
      <c r="D42" s="80"/>
      <c r="E42" s="81"/>
      <c r="F42" s="45">
        <f>SUM(F34:F41)</f>
        <v>38567.54</v>
      </c>
      <c r="G42" s="40"/>
    </row>
    <row r="43" spans="1:7" x14ac:dyDescent="0.2">
      <c r="A43" s="83" t="s">
        <v>226</v>
      </c>
      <c r="B43" s="84"/>
      <c r="C43" s="84"/>
      <c r="D43" s="84"/>
      <c r="E43" s="84"/>
      <c r="F43" s="85"/>
      <c r="G43" s="40"/>
    </row>
    <row r="44" spans="1:7" x14ac:dyDescent="0.2">
      <c r="A44" s="30">
        <v>35</v>
      </c>
      <c r="B44" s="31" t="str">
        <f>Item35!B3</f>
        <v>Barra (146.00 e 146.00 m²)</v>
      </c>
      <c r="C44" s="30" t="str">
        <f>Item35!E3</f>
        <v>unidade</v>
      </c>
      <c r="D44" s="30">
        <f>Item35!F3</f>
        <v>1</v>
      </c>
      <c r="E44" s="35">
        <f>Item35!D22</f>
        <v>2628</v>
      </c>
      <c r="F44" s="32">
        <f t="shared" si="0"/>
        <v>2628</v>
      </c>
      <c r="G44" s="40"/>
    </row>
    <row r="45" spans="1:7" x14ac:dyDescent="0.2">
      <c r="A45" s="30">
        <v>36</v>
      </c>
      <c r="B45" s="31" t="str">
        <f>Item36!B3</f>
        <v>Canarana (234.24 e 234.24 m²)</v>
      </c>
      <c r="C45" s="30" t="str">
        <f>Item36!E3</f>
        <v>unidade</v>
      </c>
      <c r="D45" s="30">
        <f>Item36!F3</f>
        <v>1</v>
      </c>
      <c r="E45" s="35">
        <f>Item36!D22</f>
        <v>5060.2133333333331</v>
      </c>
      <c r="F45" s="32">
        <f t="shared" si="0"/>
        <v>5060.21</v>
      </c>
      <c r="G45" s="40"/>
    </row>
    <row r="46" spans="1:7" x14ac:dyDescent="0.2">
      <c r="A46" s="30">
        <v>37</v>
      </c>
      <c r="B46" s="31" t="str">
        <f>Item37!B3</f>
        <v>Central (100,00 e 100,00 m²)</v>
      </c>
      <c r="C46" s="30" t="str">
        <f>Item37!E3</f>
        <v>unidade</v>
      </c>
      <c r="D46" s="30">
        <f>Item37!F3</f>
        <v>1</v>
      </c>
      <c r="E46" s="35">
        <f>Item37!D22</f>
        <v>1800</v>
      </c>
      <c r="F46" s="32">
        <f t="shared" si="0"/>
        <v>1800</v>
      </c>
      <c r="G46" s="40"/>
    </row>
    <row r="47" spans="1:7" x14ac:dyDescent="0.2">
      <c r="A47" s="30">
        <v>38</v>
      </c>
      <c r="B47" s="31" t="str">
        <f>Item38!B3</f>
        <v>Ipirá (1000.00 e 292.58 m²)</v>
      </c>
      <c r="C47" s="30" t="str">
        <f>Item38!E3</f>
        <v>unidade</v>
      </c>
      <c r="D47" s="30">
        <f>Item38!F3</f>
        <v>1</v>
      </c>
      <c r="E47" s="35">
        <f>Item38!D22</f>
        <v>9101.74</v>
      </c>
      <c r="F47" s="32">
        <f t="shared" si="0"/>
        <v>9101.74</v>
      </c>
      <c r="G47" s="40"/>
    </row>
    <row r="48" spans="1:7" x14ac:dyDescent="0.2">
      <c r="A48" s="30">
        <v>39</v>
      </c>
      <c r="B48" s="31" t="str">
        <f>Item39!B3</f>
        <v>Irecê (874,94 e 430,26 m²)</v>
      </c>
      <c r="C48" s="30" t="str">
        <f>Item39!E3</f>
        <v>unidade</v>
      </c>
      <c r="D48" s="30">
        <f>Item39!F3</f>
        <v>1</v>
      </c>
      <c r="E48" s="35">
        <f>Item39!D22</f>
        <v>6006.7</v>
      </c>
      <c r="F48" s="32">
        <f t="shared" si="0"/>
        <v>6006.7</v>
      </c>
      <c r="G48" s="40"/>
    </row>
    <row r="49" spans="1:7" x14ac:dyDescent="0.2">
      <c r="A49" s="30">
        <v>40</v>
      </c>
      <c r="B49" s="31" t="str">
        <f>Item40!B3</f>
        <v>Morro do Chapéu (317.00 e 117.64 m²)</v>
      </c>
      <c r="C49" s="30" t="str">
        <f>Item40!E3</f>
        <v>unidade</v>
      </c>
      <c r="D49" s="30">
        <f>Item40!F3</f>
        <v>1</v>
      </c>
      <c r="E49" s="35">
        <f>Item40!D22</f>
        <v>6292.833333333333</v>
      </c>
      <c r="F49" s="32">
        <f t="shared" si="0"/>
        <v>6292.83</v>
      </c>
      <c r="G49" s="40"/>
    </row>
    <row r="50" spans="1:7" x14ac:dyDescent="0.2">
      <c r="A50" s="30">
        <v>41</v>
      </c>
      <c r="B50" s="31" t="str">
        <f>Item41!B3</f>
        <v>Mundo Novo (169.00 e 136.84 m²)</v>
      </c>
      <c r="C50" s="30" t="str">
        <f>Item41!E3</f>
        <v>unidade</v>
      </c>
      <c r="D50" s="30">
        <f>Item41!F3</f>
        <v>1</v>
      </c>
      <c r="E50" s="35">
        <f>Item41!D22</f>
        <v>3838</v>
      </c>
      <c r="F50" s="32">
        <f t="shared" si="0"/>
        <v>3838</v>
      </c>
      <c r="G50" s="40"/>
    </row>
    <row r="51" spans="1:7" x14ac:dyDescent="0.2">
      <c r="A51" s="79" t="s">
        <v>227</v>
      </c>
      <c r="B51" s="80"/>
      <c r="C51" s="80"/>
      <c r="D51" s="80"/>
      <c r="E51" s="81"/>
      <c r="F51" s="45">
        <f>SUM(F44:F50)</f>
        <v>34727.479999999996</v>
      </c>
      <c r="G51" s="40"/>
    </row>
    <row r="52" spans="1:7" x14ac:dyDescent="0.2">
      <c r="A52" s="83" t="s">
        <v>228</v>
      </c>
      <c r="B52" s="84"/>
      <c r="C52" s="84"/>
      <c r="D52" s="84"/>
      <c r="E52" s="84"/>
      <c r="F52" s="85"/>
      <c r="G52" s="40"/>
    </row>
    <row r="53" spans="1:7" ht="15.75" customHeight="1" x14ac:dyDescent="0.2">
      <c r="A53" s="30">
        <v>42</v>
      </c>
      <c r="B53" s="46" t="str">
        <f>Item42!B3</f>
        <v xml:space="preserve">Buerarema (250.00 e 250.00 m²)
</v>
      </c>
      <c r="C53" s="30" t="str">
        <f>Item42!E3</f>
        <v>unidade</v>
      </c>
      <c r="D53" s="30">
        <f>Item42!F3</f>
        <v>1</v>
      </c>
      <c r="E53" s="35">
        <f>Item42!D22</f>
        <v>5055.333333333333</v>
      </c>
      <c r="F53" s="32">
        <f t="shared" si="0"/>
        <v>5055.33</v>
      </c>
      <c r="G53" s="40"/>
    </row>
    <row r="54" spans="1:7" ht="12.75" customHeight="1" x14ac:dyDescent="0.2">
      <c r="A54" s="30">
        <v>43</v>
      </c>
      <c r="B54" s="46" t="str">
        <f>Item43!B3</f>
        <v xml:space="preserve">Camacan (105.00 e 105.00 m²)
</v>
      </c>
      <c r="C54" s="30" t="str">
        <f>Item43!E3</f>
        <v>unidade</v>
      </c>
      <c r="D54" s="30">
        <f>Item43!F3</f>
        <v>1</v>
      </c>
      <c r="E54" s="35">
        <f>Item43!D22</f>
        <v>1968.75</v>
      </c>
      <c r="F54" s="32">
        <f t="shared" si="0"/>
        <v>1968.75</v>
      </c>
      <c r="G54" s="40"/>
    </row>
    <row r="55" spans="1:7" ht="15" customHeight="1" x14ac:dyDescent="0.2">
      <c r="A55" s="30">
        <v>44</v>
      </c>
      <c r="B55" s="46" t="str">
        <f>Item44!B3</f>
        <v xml:space="preserve">Camamu (205.80 e 191.92 m²)
</v>
      </c>
      <c r="C55" s="30" t="str">
        <f>Item44!E3</f>
        <v>unidade</v>
      </c>
      <c r="D55" s="30">
        <f>Item44!F3</f>
        <v>1</v>
      </c>
      <c r="E55" s="35">
        <f>Item44!D22</f>
        <v>4545.7333333333336</v>
      </c>
      <c r="F55" s="32">
        <f t="shared" si="0"/>
        <v>4545.7299999999996</v>
      </c>
      <c r="G55" s="40"/>
    </row>
    <row r="56" spans="1:7" ht="15" customHeight="1" x14ac:dyDescent="0.2">
      <c r="A56" s="30">
        <v>45</v>
      </c>
      <c r="B56" s="46" t="str">
        <f>Item45!B3</f>
        <v xml:space="preserve">Eunápolis (1350.00 e 314.00 m²)
</v>
      </c>
      <c r="C56" s="30" t="str">
        <f>Item45!E3</f>
        <v>unidade</v>
      </c>
      <c r="D56" s="30">
        <f>Item45!F3</f>
        <v>1</v>
      </c>
      <c r="E56" s="35">
        <f>Item45!D22</f>
        <v>9507</v>
      </c>
      <c r="F56" s="32">
        <f t="shared" si="0"/>
        <v>9507</v>
      </c>
      <c r="G56" s="40"/>
    </row>
    <row r="57" spans="1:7" ht="14.25" customHeight="1" x14ac:dyDescent="0.2">
      <c r="A57" s="30">
        <v>46</v>
      </c>
      <c r="B57" s="46" t="str">
        <f>Item46!B3</f>
        <v xml:space="preserve">Gandu (298.00 e 298.00 m²)
</v>
      </c>
      <c r="C57" s="30" t="str">
        <f>Item46!E3</f>
        <v>unidade</v>
      </c>
      <c r="D57" s="30">
        <f>Item46!F3</f>
        <v>1</v>
      </c>
      <c r="E57" s="35">
        <f>Item46!D22</f>
        <v>5063.333333333333</v>
      </c>
      <c r="F57" s="32">
        <f t="shared" si="0"/>
        <v>5063.33</v>
      </c>
      <c r="G57" s="40"/>
    </row>
    <row r="58" spans="1:7" ht="15.75" customHeight="1" x14ac:dyDescent="0.2">
      <c r="A58" s="30">
        <v>47</v>
      </c>
      <c r="B58" s="46" t="str">
        <f>Item47!B3</f>
        <v xml:space="preserve">Ibicaraí (39.00 e 32.68 m²)
</v>
      </c>
      <c r="C58" s="30" t="str">
        <f>Item47!E3</f>
        <v>unidade</v>
      </c>
      <c r="D58" s="30">
        <f>Item47!F3</f>
        <v>1</v>
      </c>
      <c r="E58" s="35">
        <f>Item47!D22</f>
        <v>805.5</v>
      </c>
      <c r="F58" s="32">
        <f t="shared" si="0"/>
        <v>805.5</v>
      </c>
      <c r="G58" s="40"/>
    </row>
    <row r="59" spans="1:7" ht="16.5" customHeight="1" x14ac:dyDescent="0.2">
      <c r="A59" s="30">
        <v>48</v>
      </c>
      <c r="B59" s="46" t="str">
        <f>Item48!B3</f>
        <v xml:space="preserve">Ilhéus (2025.63 e 783,90 m²)
</v>
      </c>
      <c r="C59" s="30" t="str">
        <f>Item48!E3</f>
        <v>unidade</v>
      </c>
      <c r="D59" s="30">
        <f>Item48!F3</f>
        <v>1</v>
      </c>
      <c r="E59" s="35">
        <f>Item48!D22</f>
        <v>5925.63</v>
      </c>
      <c r="F59" s="32">
        <f t="shared" si="0"/>
        <v>5925.63</v>
      </c>
      <c r="G59" s="40"/>
    </row>
    <row r="60" spans="1:7" ht="13.5" customHeight="1" x14ac:dyDescent="0.2">
      <c r="A60" s="30">
        <v>49</v>
      </c>
      <c r="B60" s="46" t="str">
        <f>Item49!B3</f>
        <v xml:space="preserve">Ipiaú (465.75 e 205.00 m²)
</v>
      </c>
      <c r="C60" s="30" t="str">
        <f>Item49!E3</f>
        <v>unidade</v>
      </c>
      <c r="D60" s="30">
        <f>Item49!F3</f>
        <v>1</v>
      </c>
      <c r="E60" s="35">
        <f>Item49!D22</f>
        <v>7615.333333333333</v>
      </c>
      <c r="F60" s="32">
        <f t="shared" si="0"/>
        <v>7615.33</v>
      </c>
      <c r="G60" s="40"/>
    </row>
    <row r="61" spans="1:7" ht="16.5" customHeight="1" x14ac:dyDescent="0.2">
      <c r="A61" s="30">
        <v>50</v>
      </c>
      <c r="B61" s="46" t="str">
        <f>Item50!B3</f>
        <v xml:space="preserve">Itabuna (454.00 e 454.00 m²)
</v>
      </c>
      <c r="C61" s="30" t="str">
        <f>Item50!E3</f>
        <v>unidade</v>
      </c>
      <c r="D61" s="30">
        <f>Item50!F3</f>
        <v>1</v>
      </c>
      <c r="E61" s="35">
        <f>Item50!D22</f>
        <v>7871.333333333333</v>
      </c>
      <c r="F61" s="32">
        <f t="shared" si="0"/>
        <v>7871.33</v>
      </c>
      <c r="G61" s="40"/>
    </row>
    <row r="62" spans="1:7" ht="15" customHeight="1" x14ac:dyDescent="0.2">
      <c r="A62" s="30">
        <v>51</v>
      </c>
      <c r="B62" s="46" t="str">
        <f>Item51!B3</f>
        <v xml:space="preserve">Itagibá (143.00 e 143.00 m²)
</v>
      </c>
      <c r="C62" s="30" t="str">
        <f>Item51!E3</f>
        <v>unidade</v>
      </c>
      <c r="D62" s="30">
        <f>Item51!F3</f>
        <v>1</v>
      </c>
      <c r="E62" s="35">
        <f>Item51!D22</f>
        <v>2434.5</v>
      </c>
      <c r="F62" s="32">
        <f t="shared" si="0"/>
        <v>2434.5</v>
      </c>
      <c r="G62" s="40"/>
    </row>
    <row r="63" spans="1:7" ht="14.25" customHeight="1" x14ac:dyDescent="0.2">
      <c r="A63" s="30">
        <v>52</v>
      </c>
      <c r="B63" s="46" t="str">
        <f>Item52!B3</f>
        <v xml:space="preserve">Itajuípe (130.00 e 130.00 m²)
</v>
      </c>
      <c r="C63" s="30" t="str">
        <f>Item52!E3</f>
        <v>unidade</v>
      </c>
      <c r="D63" s="30">
        <f>Item52!F3</f>
        <v>1</v>
      </c>
      <c r="E63" s="35">
        <f>Item52!D22</f>
        <v>2212.5</v>
      </c>
      <c r="F63" s="32">
        <f t="shared" si="0"/>
        <v>2212.5</v>
      </c>
      <c r="G63" s="40"/>
    </row>
    <row r="64" spans="1:7" ht="14.25" customHeight="1" x14ac:dyDescent="0.2">
      <c r="A64" s="30">
        <v>53</v>
      </c>
      <c r="B64" s="46" t="str">
        <f>Item53!B3</f>
        <v xml:space="preserve">Itamaraju (22.00 e 22.00 m²)
</v>
      </c>
      <c r="C64" s="30" t="str">
        <f>Item53!E3</f>
        <v>unidade</v>
      </c>
      <c r="D64" s="30">
        <f>Item53!F3</f>
        <v>1</v>
      </c>
      <c r="E64" s="35">
        <f>Item53!D22</f>
        <v>513</v>
      </c>
      <c r="F64" s="32">
        <f t="shared" si="0"/>
        <v>513</v>
      </c>
      <c r="G64" s="40"/>
    </row>
    <row r="65" spans="1:7" ht="15" customHeight="1" x14ac:dyDescent="0.2">
      <c r="A65" s="30">
        <v>54</v>
      </c>
      <c r="B65" s="46" t="str">
        <f>Item54!B3</f>
        <v xml:space="preserve">Itaparica (1380.77 e 191.77 m²)
</v>
      </c>
      <c r="C65" s="30" t="str">
        <f>Item54!E3</f>
        <v>unidade</v>
      </c>
      <c r="D65" s="30">
        <f>Item54!F3</f>
        <v>1</v>
      </c>
      <c r="E65" s="35">
        <f>Item54!D22</f>
        <v>10436</v>
      </c>
      <c r="F65" s="32">
        <f t="shared" si="0"/>
        <v>10436</v>
      </c>
      <c r="G65" s="40"/>
    </row>
    <row r="66" spans="1:7" ht="14.25" customHeight="1" x14ac:dyDescent="0.2">
      <c r="A66" s="30">
        <v>55</v>
      </c>
      <c r="B66" s="46" t="str">
        <f>Item55!B3</f>
        <v xml:space="preserve">Itarantim (127.00 e 117.00 m²)
</v>
      </c>
      <c r="C66" s="30" t="str">
        <f>Item55!E3</f>
        <v>unidade</v>
      </c>
      <c r="D66" s="30">
        <f>Item55!F3</f>
        <v>1</v>
      </c>
      <c r="E66" s="35">
        <f>Item55!D22</f>
        <v>2148</v>
      </c>
      <c r="F66" s="32">
        <f t="shared" si="0"/>
        <v>2148</v>
      </c>
      <c r="G66" s="40"/>
    </row>
    <row r="67" spans="1:7" ht="15" customHeight="1" x14ac:dyDescent="0.2">
      <c r="A67" s="30">
        <v>56</v>
      </c>
      <c r="B67" s="46" t="str">
        <f>Item56!B3</f>
        <v xml:space="preserve">Ituberá (133.00 e 90.00 m²)
</v>
      </c>
      <c r="C67" s="30" t="str">
        <f>Item56!E3</f>
        <v>unidade</v>
      </c>
      <c r="D67" s="30">
        <f>Item56!F3</f>
        <v>1</v>
      </c>
      <c r="E67" s="35">
        <f>Item56!D22</f>
        <v>2172.75</v>
      </c>
      <c r="F67" s="32">
        <f t="shared" si="0"/>
        <v>2172.75</v>
      </c>
      <c r="G67" s="40"/>
    </row>
    <row r="68" spans="1:7" ht="15" customHeight="1" x14ac:dyDescent="0.2">
      <c r="A68" s="30">
        <v>57</v>
      </c>
      <c r="B68" s="46" t="str">
        <f>Item57!B3</f>
        <v xml:space="preserve">Medeiros Neto (93.20 e 93.20 m²)
</v>
      </c>
      <c r="C68" s="30" t="str">
        <f>Item57!E3</f>
        <v>unidade</v>
      </c>
      <c r="D68" s="30">
        <f>Item57!F3</f>
        <v>1</v>
      </c>
      <c r="E68" s="35">
        <f>Item57!D22</f>
        <v>1610.4</v>
      </c>
      <c r="F68" s="32">
        <f t="shared" si="0"/>
        <v>1610.4</v>
      </c>
      <c r="G68" s="40"/>
    </row>
    <row r="69" spans="1:7" ht="15.75" customHeight="1" x14ac:dyDescent="0.2">
      <c r="A69" s="30">
        <v>58</v>
      </c>
      <c r="B69" s="46" t="str">
        <f>Item58!B3</f>
        <v xml:space="preserve">Nazaré (220.00 e 220.00 m²)
</v>
      </c>
      <c r="C69" s="30" t="str">
        <f>Item58!E3</f>
        <v>unidade</v>
      </c>
      <c r="D69" s="30">
        <f>Item58!F3</f>
        <v>1</v>
      </c>
      <c r="E69" s="35">
        <f>Item58!D22</f>
        <v>4669.333333333333</v>
      </c>
      <c r="F69" s="32">
        <f t="shared" si="0"/>
        <v>4669.33</v>
      </c>
      <c r="G69" s="40"/>
    </row>
    <row r="70" spans="1:7" ht="15.75" customHeight="1" x14ac:dyDescent="0.2">
      <c r="A70" s="30">
        <v>59</v>
      </c>
      <c r="B70" s="46" t="str">
        <f>Item59!B3</f>
        <v xml:space="preserve">Porto Seguro (909.80 e 204.89 m²)
</v>
      </c>
      <c r="C70" s="30" t="str">
        <f>Item59!E3</f>
        <v>unidade</v>
      </c>
      <c r="D70" s="30">
        <f>Item59!F3</f>
        <v>1</v>
      </c>
      <c r="E70" s="35">
        <f>Item59!D22</f>
        <v>7699</v>
      </c>
      <c r="F70" s="32">
        <f t="shared" si="0"/>
        <v>7699</v>
      </c>
      <c r="G70" s="40"/>
    </row>
    <row r="71" spans="1:7" ht="15" customHeight="1" x14ac:dyDescent="0.2">
      <c r="A71" s="30">
        <v>60</v>
      </c>
      <c r="B71" s="46" t="str">
        <f>Item60!B3</f>
        <v xml:space="preserve">Teixeira de Freitas (600.00 e 170.00 m²)
</v>
      </c>
      <c r="C71" s="30" t="str">
        <f>Item60!E3</f>
        <v>unidade</v>
      </c>
      <c r="D71" s="30">
        <f>Item60!F3</f>
        <v>1</v>
      </c>
      <c r="E71" s="35">
        <f>Item60!D22</f>
        <v>9084.3333333333339</v>
      </c>
      <c r="F71" s="32">
        <f t="shared" si="0"/>
        <v>9084.33</v>
      </c>
      <c r="G71" s="40"/>
    </row>
    <row r="72" spans="1:7" ht="13.5" customHeight="1" x14ac:dyDescent="0.2">
      <c r="A72" s="30">
        <v>61</v>
      </c>
      <c r="B72" s="46" t="str">
        <f>Item61!B3</f>
        <v xml:space="preserve">Ubatã (180.00 e 90.00 m²)
</v>
      </c>
      <c r="C72" s="30" t="str">
        <f>Item61!E3</f>
        <v>unidade</v>
      </c>
      <c r="D72" s="30">
        <f>Item61!F3</f>
        <v>1</v>
      </c>
      <c r="E72" s="35">
        <f>Item61!D22</f>
        <v>1526</v>
      </c>
      <c r="F72" s="32">
        <f t="shared" si="0"/>
        <v>1526</v>
      </c>
      <c r="G72" s="40"/>
    </row>
    <row r="73" spans="1:7" ht="15" customHeight="1" x14ac:dyDescent="0.2">
      <c r="A73" s="30">
        <v>62</v>
      </c>
      <c r="B73" s="46" t="str">
        <f>Item62!B3</f>
        <v xml:space="preserve">Valença (1000.00 e 317.85 m²)
</v>
      </c>
      <c r="C73" s="30" t="str">
        <f>Item62!E3</f>
        <v>unidade</v>
      </c>
      <c r="D73" s="30">
        <f>Item62!F3</f>
        <v>1</v>
      </c>
      <c r="E73" s="35">
        <f>Item62!D22</f>
        <v>5789.5</v>
      </c>
      <c r="F73" s="32">
        <f t="shared" si="0"/>
        <v>5789.5</v>
      </c>
      <c r="G73" s="40"/>
    </row>
    <row r="74" spans="1:7" ht="16.5" customHeight="1" x14ac:dyDescent="0.2">
      <c r="A74" s="30">
        <v>63</v>
      </c>
      <c r="B74" s="46" t="str">
        <f>Item63!B3</f>
        <v xml:space="preserve">Wenceslau Guimarães (109.00 e 109.00 m²)
</v>
      </c>
      <c r="C74" s="30" t="str">
        <f>Item63!E3</f>
        <v>unidade</v>
      </c>
      <c r="D74" s="30">
        <f>Item63!F3</f>
        <v>1</v>
      </c>
      <c r="E74" s="35">
        <f>Item63!D22</f>
        <v>2062</v>
      </c>
      <c r="F74" s="32">
        <f t="shared" si="0"/>
        <v>2062</v>
      </c>
      <c r="G74" s="40"/>
    </row>
    <row r="75" spans="1:7" x14ac:dyDescent="0.2">
      <c r="A75" s="79" t="s">
        <v>229</v>
      </c>
      <c r="B75" s="80"/>
      <c r="C75" s="80"/>
      <c r="D75" s="80"/>
      <c r="E75" s="81"/>
      <c r="F75" s="45">
        <f>SUM(F53:F74)</f>
        <v>100715.23999999999</v>
      </c>
      <c r="G75" s="40"/>
    </row>
    <row r="76" spans="1:7" x14ac:dyDescent="0.2">
      <c r="A76" s="83" t="s">
        <v>230</v>
      </c>
      <c r="B76" s="84"/>
      <c r="C76" s="84"/>
      <c r="D76" s="84"/>
      <c r="E76" s="84"/>
      <c r="F76" s="85"/>
      <c r="G76" s="40"/>
    </row>
    <row r="77" spans="1:7" x14ac:dyDescent="0.2">
      <c r="A77" s="30">
        <v>64</v>
      </c>
      <c r="B77" s="31" t="str">
        <f>Item64!B3</f>
        <v>Conceição do Coité (321.23 e 188.00 m²)</v>
      </c>
      <c r="C77" s="30" t="str">
        <f>Item64!E3</f>
        <v>unidade</v>
      </c>
      <c r="D77" s="30">
        <f>Item64!F3</f>
        <v>1</v>
      </c>
      <c r="E77" s="35">
        <f>Item64!D22</f>
        <v>5723.5066666666671</v>
      </c>
      <c r="F77" s="32">
        <f t="shared" si="0"/>
        <v>5723.51</v>
      </c>
      <c r="G77" s="40"/>
    </row>
    <row r="78" spans="1:7" x14ac:dyDescent="0.2">
      <c r="A78" s="30">
        <v>65</v>
      </c>
      <c r="B78" s="31" t="str">
        <f>Item65!B3</f>
        <v>Itiúba (20.00 e 20.00 m²)</v>
      </c>
      <c r="C78" s="30" t="str">
        <f>Item65!E3</f>
        <v>unidade</v>
      </c>
      <c r="D78" s="30">
        <f>Item65!F3</f>
        <v>1</v>
      </c>
      <c r="E78" s="35">
        <f>Item65!D22</f>
        <v>590</v>
      </c>
      <c r="F78" s="32">
        <f t="shared" si="0"/>
        <v>590</v>
      </c>
      <c r="G78" s="40"/>
    </row>
    <row r="79" spans="1:7" x14ac:dyDescent="0.2">
      <c r="A79" s="30">
        <v>66</v>
      </c>
      <c r="B79" s="31" t="str">
        <f>Item66!B3</f>
        <v>Jacobina (2130.00 e 604.10 m²)</v>
      </c>
      <c r="C79" s="30" t="str">
        <f>Item66!E3</f>
        <v>unidade</v>
      </c>
      <c r="D79" s="30">
        <f>Item66!F3</f>
        <v>1</v>
      </c>
      <c r="E79" s="35">
        <f>Item66!D22</f>
        <v>16137</v>
      </c>
      <c r="F79" s="32">
        <f t="shared" ref="F79:F109" si="2">(ROUND(E79,2)*D79)</f>
        <v>16137</v>
      </c>
      <c r="G79" s="40"/>
    </row>
    <row r="80" spans="1:7" x14ac:dyDescent="0.2">
      <c r="A80" s="30">
        <v>67</v>
      </c>
      <c r="B80" s="31" t="str">
        <f>Item67!B3</f>
        <v>Juazeiro (1616.43 e 773.45 m²)</v>
      </c>
      <c r="C80" s="30" t="str">
        <f>Item67!E3</f>
        <v>unidade</v>
      </c>
      <c r="D80" s="30">
        <f>Item67!F3</f>
        <v>1</v>
      </c>
      <c r="E80" s="35">
        <f>Item67!D22</f>
        <v>12938.5</v>
      </c>
      <c r="F80" s="32">
        <f t="shared" si="2"/>
        <v>12938.5</v>
      </c>
      <c r="G80" s="40"/>
    </row>
    <row r="81" spans="1:7" x14ac:dyDescent="0.2">
      <c r="A81" s="30">
        <v>68</v>
      </c>
      <c r="B81" s="31" t="str">
        <f>Item68!B3</f>
        <v>Miguel Calmon (96.75 e 96.75 m²)</v>
      </c>
      <c r="C81" s="30" t="str">
        <f>Item68!E3</f>
        <v>unidade</v>
      </c>
      <c r="D81" s="30">
        <f>Item68!F3</f>
        <v>1</v>
      </c>
      <c r="E81" s="35">
        <f>Item68!D22</f>
        <v>1563.5</v>
      </c>
      <c r="F81" s="32">
        <f t="shared" si="2"/>
        <v>1563.5</v>
      </c>
      <c r="G81" s="40"/>
    </row>
    <row r="82" spans="1:7" x14ac:dyDescent="0.2">
      <c r="A82" s="30">
        <v>69</v>
      </c>
      <c r="B82" s="31" t="str">
        <f>Item69!B3</f>
        <v>Queimadas (526.00 e 455.83 m²)</v>
      </c>
      <c r="C82" s="30" t="str">
        <f>Item69!E3</f>
        <v>unidade</v>
      </c>
      <c r="D82" s="30">
        <f>Item69!F3</f>
        <v>1</v>
      </c>
      <c r="E82" s="35">
        <f>Item69!D22</f>
        <v>8824.3333333333339</v>
      </c>
      <c r="F82" s="32">
        <f t="shared" si="2"/>
        <v>8824.33</v>
      </c>
      <c r="G82" s="40"/>
    </row>
    <row r="83" spans="1:7" x14ac:dyDescent="0.2">
      <c r="A83" s="30">
        <v>70</v>
      </c>
      <c r="B83" s="31" t="str">
        <f>Item70!B3</f>
        <v>Remanso (192.00 e 164.71 m²)</v>
      </c>
      <c r="C83" s="30" t="str">
        <f>Item70!E3</f>
        <v>unidade</v>
      </c>
      <c r="D83" s="30">
        <f>Item70!F3</f>
        <v>1</v>
      </c>
      <c r="E83" s="35">
        <f>Item70!D22</f>
        <v>4585.333333333333</v>
      </c>
      <c r="F83" s="32">
        <f t="shared" si="2"/>
        <v>4585.33</v>
      </c>
      <c r="G83" s="40"/>
    </row>
    <row r="84" spans="1:7" x14ac:dyDescent="0.2">
      <c r="A84" s="30">
        <v>71</v>
      </c>
      <c r="B84" s="31" t="str">
        <f>Item71!B3</f>
        <v>Retirolândia (308.00 e 108.00 m²)</v>
      </c>
      <c r="C84" s="30" t="str">
        <f>Item71!E3</f>
        <v>unidade</v>
      </c>
      <c r="D84" s="30">
        <f>Item71!F3</f>
        <v>1</v>
      </c>
      <c r="E84" s="35">
        <f>Item71!D22</f>
        <v>6020</v>
      </c>
      <c r="F84" s="32">
        <f t="shared" si="2"/>
        <v>6020</v>
      </c>
      <c r="G84" s="40"/>
    </row>
    <row r="85" spans="1:7" x14ac:dyDescent="0.2">
      <c r="A85" s="30">
        <v>72</v>
      </c>
      <c r="B85" s="31" t="str">
        <f>Item72!B3</f>
        <v>Riachão do Jacuípe (300.00 e 145.80 m²)</v>
      </c>
      <c r="C85" s="30" t="str">
        <f>Item72!E3</f>
        <v>unidade</v>
      </c>
      <c r="D85" s="30">
        <f>Item72!F3</f>
        <v>1</v>
      </c>
      <c r="E85" s="35">
        <f>Item72!D22</f>
        <v>5956</v>
      </c>
      <c r="F85" s="32">
        <f t="shared" si="2"/>
        <v>5956</v>
      </c>
      <c r="G85" s="40"/>
    </row>
    <row r="86" spans="1:7" x14ac:dyDescent="0.2">
      <c r="A86" s="30">
        <v>73</v>
      </c>
      <c r="B86" s="31" t="str">
        <f>Item73!B3</f>
        <v>Saúde (255.00 e 255.00 m²)</v>
      </c>
      <c r="C86" s="30" t="str">
        <f>Item73!E3</f>
        <v>unidade</v>
      </c>
      <c r="D86" s="30">
        <f>Item73!F3</f>
        <v>1</v>
      </c>
      <c r="E86" s="35">
        <f>Item73!D22</f>
        <v>5003</v>
      </c>
      <c r="F86" s="32">
        <f t="shared" si="2"/>
        <v>5003</v>
      </c>
      <c r="G86" s="40"/>
    </row>
    <row r="87" spans="1:7" x14ac:dyDescent="0.2">
      <c r="A87" s="30">
        <v>74</v>
      </c>
      <c r="B87" s="31" t="str">
        <f>Item74!B3</f>
        <v>Senhor do Bonfim (32.00 e 32.00 m²)</v>
      </c>
      <c r="C87" s="30" t="str">
        <f>Item74!E3</f>
        <v>unidade</v>
      </c>
      <c r="D87" s="30">
        <f>Item74!F3</f>
        <v>1</v>
      </c>
      <c r="E87" s="35">
        <f>Item74!D22</f>
        <v>1086.5</v>
      </c>
      <c r="F87" s="32">
        <f t="shared" si="2"/>
        <v>1086.5</v>
      </c>
      <c r="G87" s="40"/>
    </row>
    <row r="88" spans="1:7" ht="12.75" customHeight="1" x14ac:dyDescent="0.2">
      <c r="A88" s="79" t="s">
        <v>232</v>
      </c>
      <c r="B88" s="80"/>
      <c r="C88" s="80"/>
      <c r="D88" s="80"/>
      <c r="E88" s="81"/>
      <c r="F88" s="45">
        <f>SUM(F77:F87)</f>
        <v>68427.670000000013</v>
      </c>
      <c r="G88" s="40"/>
    </row>
    <row r="89" spans="1:7" x14ac:dyDescent="0.2">
      <c r="A89" s="83" t="s">
        <v>231</v>
      </c>
      <c r="B89" s="84"/>
      <c r="C89" s="84"/>
      <c r="D89" s="84"/>
      <c r="E89" s="84"/>
      <c r="F89" s="85"/>
      <c r="G89" s="40"/>
    </row>
    <row r="90" spans="1:7" x14ac:dyDescent="0.2">
      <c r="A90" s="30">
        <v>75</v>
      </c>
      <c r="B90" s="31" t="str">
        <f>Item75!B3</f>
        <v>Alagoinhas (350.00 e 264.00 m²)</v>
      </c>
      <c r="C90" s="30" t="str">
        <f>Item75!E3</f>
        <v>unidade</v>
      </c>
      <c r="D90" s="30">
        <f>Item75!F3</f>
        <v>1</v>
      </c>
      <c r="E90" s="35">
        <f>Item75!D22</f>
        <v>6917.333333333333</v>
      </c>
      <c r="F90" s="32">
        <f t="shared" si="2"/>
        <v>6917.33</v>
      </c>
      <c r="G90" s="40"/>
    </row>
    <row r="91" spans="1:7" x14ac:dyDescent="0.2">
      <c r="A91" s="30">
        <v>76</v>
      </c>
      <c r="B91" s="31" t="str">
        <f>Item76!B3</f>
        <v>Amargosa (337.00 e 235.82 m²)</v>
      </c>
      <c r="C91" s="30" t="str">
        <f>Item76!E3</f>
        <v>unidade</v>
      </c>
      <c r="D91" s="30">
        <f>Item76!F3</f>
        <v>1</v>
      </c>
      <c r="E91" s="35">
        <f>Item76!D22</f>
        <v>6730.9733333333324</v>
      </c>
      <c r="F91" s="32">
        <f t="shared" si="2"/>
        <v>6730.97</v>
      </c>
      <c r="G91" s="40"/>
    </row>
    <row r="92" spans="1:7" x14ac:dyDescent="0.2">
      <c r="A92" s="30">
        <v>77</v>
      </c>
      <c r="B92" s="31" t="str">
        <f>Item77!B3</f>
        <v>Camaçari (1865.00 e 937.68 m²)</v>
      </c>
      <c r="C92" s="30" t="str">
        <f>Item77!E3</f>
        <v>unidade</v>
      </c>
      <c r="D92" s="30">
        <f>Item77!F3</f>
        <v>1</v>
      </c>
      <c r="E92" s="35">
        <f>Item77!D22</f>
        <v>12136</v>
      </c>
      <c r="F92" s="32">
        <f t="shared" si="2"/>
        <v>12136</v>
      </c>
      <c r="G92" s="40"/>
    </row>
    <row r="93" spans="1:7" x14ac:dyDescent="0.2">
      <c r="A93" s="30">
        <v>78</v>
      </c>
      <c r="B93" s="31" t="str">
        <f>Item78!B3</f>
        <v>Castro Alves (63.70 e 63.70 m²)</v>
      </c>
      <c r="C93" s="30" t="str">
        <f>Item78!E3</f>
        <v>unidade</v>
      </c>
      <c r="D93" s="30">
        <f>Item78!F3</f>
        <v>1</v>
      </c>
      <c r="E93" s="35">
        <f>Item78!D22</f>
        <v>1246.5999999999999</v>
      </c>
      <c r="F93" s="32">
        <f t="shared" si="2"/>
        <v>1246.5999999999999</v>
      </c>
      <c r="G93" s="40"/>
    </row>
    <row r="94" spans="1:7" x14ac:dyDescent="0.2">
      <c r="A94" s="30">
        <v>79</v>
      </c>
      <c r="B94" s="31" t="str">
        <f>Item79!B3</f>
        <v>Catu (166.40 e 85.05 m²)</v>
      </c>
      <c r="C94" s="30" t="str">
        <f>Item79!E3</f>
        <v>unidade</v>
      </c>
      <c r="D94" s="30">
        <f>Item79!F3</f>
        <v>1</v>
      </c>
      <c r="E94" s="35">
        <f>Item79!D22</f>
        <v>3469.4333333333329</v>
      </c>
      <c r="F94" s="32">
        <f t="shared" si="2"/>
        <v>3469.43</v>
      </c>
      <c r="G94" s="40"/>
    </row>
    <row r="95" spans="1:7" x14ac:dyDescent="0.2">
      <c r="A95" s="30">
        <v>80</v>
      </c>
      <c r="B95" s="31" t="str">
        <f>Item80!B3</f>
        <v>Conceição do Jacuípe (76.00 e 76.00 m²)</v>
      </c>
      <c r="C95" s="30" t="str">
        <f>Item80!E3</f>
        <v>unidade</v>
      </c>
      <c r="D95" s="30">
        <f>Item80!F3</f>
        <v>1</v>
      </c>
      <c r="E95" s="35">
        <f>Item80!D22</f>
        <v>1468</v>
      </c>
      <c r="F95" s="32">
        <f t="shared" si="2"/>
        <v>1468</v>
      </c>
      <c r="G95" s="40"/>
    </row>
    <row r="96" spans="1:7" x14ac:dyDescent="0.2">
      <c r="A96" s="30">
        <v>81</v>
      </c>
      <c r="B96" s="31" t="str">
        <f>Item81!B3</f>
        <v>Cruz das Almas (2000.00 e 340.28 m²)</v>
      </c>
      <c r="C96" s="30" t="str">
        <f>Item81!E3</f>
        <v>unidade</v>
      </c>
      <c r="D96" s="30">
        <f>Item81!F3</f>
        <v>1</v>
      </c>
      <c r="E96" s="35">
        <f>Item81!D22</f>
        <v>12236</v>
      </c>
      <c r="F96" s="32">
        <f t="shared" si="2"/>
        <v>12236</v>
      </c>
      <c r="G96" s="40"/>
    </row>
    <row r="97" spans="1:7" x14ac:dyDescent="0.2">
      <c r="A97" s="30">
        <v>82</v>
      </c>
      <c r="B97" s="31" t="str">
        <f>Item82!B3</f>
        <v>Dias D’ Ávila (182.24 e 182.24 m²)</v>
      </c>
      <c r="C97" s="30" t="str">
        <f>Item82!E3</f>
        <v>unidade</v>
      </c>
      <c r="D97" s="30">
        <f>Item82!F3</f>
        <v>1</v>
      </c>
      <c r="E97" s="35">
        <f>Item82!D22</f>
        <v>4204.2133333333331</v>
      </c>
      <c r="F97" s="32">
        <f t="shared" si="2"/>
        <v>4204.21</v>
      </c>
      <c r="G97" s="40"/>
    </row>
    <row r="98" spans="1:7" x14ac:dyDescent="0.2">
      <c r="A98" s="30">
        <v>83</v>
      </c>
      <c r="B98" s="31" t="str">
        <f>Item83!B3</f>
        <v>Feira de Santana (1350.00 e 314.00 m ²)</v>
      </c>
      <c r="C98" s="30" t="str">
        <f>Item83!E3</f>
        <v>unidade</v>
      </c>
      <c r="D98" s="30">
        <f>Item83!F3</f>
        <v>1</v>
      </c>
      <c r="E98" s="35">
        <f>Item83!D22</f>
        <v>12128</v>
      </c>
      <c r="F98" s="32">
        <f t="shared" si="2"/>
        <v>12128</v>
      </c>
      <c r="G98" s="40"/>
    </row>
    <row r="99" spans="1:7" x14ac:dyDescent="0.2">
      <c r="A99" s="30">
        <v>84</v>
      </c>
      <c r="B99" s="31" t="str">
        <f>Item84!B3</f>
        <v>Irará (300.00 e 192.90 m²)</v>
      </c>
      <c r="C99" s="30" t="str">
        <f>Item84!E3</f>
        <v>unidade</v>
      </c>
      <c r="D99" s="30">
        <f>Item84!F3</f>
        <v>1</v>
      </c>
      <c r="E99" s="35">
        <f>Item84!D22</f>
        <v>5635.1333333333341</v>
      </c>
      <c r="F99" s="32">
        <f t="shared" si="2"/>
        <v>5635.13</v>
      </c>
      <c r="G99" s="40"/>
    </row>
    <row r="100" spans="1:7" x14ac:dyDescent="0.2">
      <c r="A100" s="30">
        <v>85</v>
      </c>
      <c r="B100" s="31" t="str">
        <f>Item85!B3</f>
        <v>Lauro de Freitas (110.00 e 110.00 m²)</v>
      </c>
      <c r="C100" s="30" t="str">
        <f>Item85!E3</f>
        <v>unidade</v>
      </c>
      <c r="D100" s="30">
        <f>Item85!F3</f>
        <v>1</v>
      </c>
      <c r="E100" s="35">
        <f>Item85!D22</f>
        <v>2640</v>
      </c>
      <c r="F100" s="32">
        <f t="shared" si="2"/>
        <v>2640</v>
      </c>
      <c r="G100" s="40"/>
    </row>
    <row r="101" spans="1:7" x14ac:dyDescent="0.2">
      <c r="A101" s="30">
        <v>86</v>
      </c>
      <c r="B101" s="31" t="str">
        <f>Item86!B3</f>
        <v>Mata de São João (150.00 e 150.00 m²)</v>
      </c>
      <c r="C101" s="30" t="str">
        <f>Item86!E3</f>
        <v>unidade</v>
      </c>
      <c r="D101" s="30">
        <f>Item86!F3</f>
        <v>1</v>
      </c>
      <c r="E101" s="35">
        <f>Item86!D22</f>
        <v>2700</v>
      </c>
      <c r="F101" s="32">
        <f t="shared" si="2"/>
        <v>2700</v>
      </c>
      <c r="G101" s="40"/>
    </row>
    <row r="102" spans="1:7" x14ac:dyDescent="0.2">
      <c r="A102" s="30">
        <v>87</v>
      </c>
      <c r="B102" s="31" t="str">
        <f>Item87!B3</f>
        <v>Muritiba (176.23 e 176.23 m²)</v>
      </c>
      <c r="C102" s="30" t="str">
        <f>Item87!E3</f>
        <v>unidade</v>
      </c>
      <c r="D102" s="30">
        <f>Item87!F3</f>
        <v>1</v>
      </c>
      <c r="E102" s="35">
        <f>Item87!D22</f>
        <v>3172.1400000000003</v>
      </c>
      <c r="F102" s="32">
        <f t="shared" si="2"/>
        <v>3172.14</v>
      </c>
      <c r="G102" s="40"/>
    </row>
    <row r="103" spans="1:7" x14ac:dyDescent="0.2">
      <c r="A103" s="30">
        <v>88</v>
      </c>
      <c r="B103" s="31" t="str">
        <f>Item88!B3</f>
        <v>Mutuípe (398.15 e190.40 m²)</v>
      </c>
      <c r="C103" s="30" t="str">
        <f>Item88!E3</f>
        <v>unidade</v>
      </c>
      <c r="D103" s="30">
        <f>Item88!F3</f>
        <v>1</v>
      </c>
      <c r="E103" s="35">
        <f>Item88!D22</f>
        <v>7251.6333333333341</v>
      </c>
      <c r="F103" s="32">
        <f t="shared" si="2"/>
        <v>7251.63</v>
      </c>
      <c r="G103" s="40"/>
    </row>
    <row r="104" spans="1:7" x14ac:dyDescent="0.2">
      <c r="A104" s="30">
        <v>89</v>
      </c>
      <c r="B104" s="31" t="str">
        <f>Item89!B3</f>
        <v>Santo Antônio de Jesus (425.00 e 265.16 m²)</v>
      </c>
      <c r="C104" s="30" t="str">
        <f>Item89!E3</f>
        <v>unidade</v>
      </c>
      <c r="D104" s="30">
        <f>Item89!F3</f>
        <v>1</v>
      </c>
      <c r="E104" s="35">
        <f>Item89!D22</f>
        <v>7703</v>
      </c>
      <c r="F104" s="32">
        <f t="shared" si="2"/>
        <v>7703</v>
      </c>
      <c r="G104" s="40"/>
    </row>
    <row r="105" spans="1:7" x14ac:dyDescent="0.2">
      <c r="A105" s="30">
        <v>90</v>
      </c>
      <c r="B105" s="31" t="str">
        <f>Item90!B3</f>
        <v>São Francisco do Conde (306.00 e 77.00 m²)</v>
      </c>
      <c r="C105" s="30" t="str">
        <f>Item90!E3</f>
        <v>unidade</v>
      </c>
      <c r="D105" s="30">
        <f>Item90!F3</f>
        <v>1</v>
      </c>
      <c r="E105" s="35">
        <f>Item90!D22</f>
        <v>6031</v>
      </c>
      <c r="F105" s="32">
        <f t="shared" si="2"/>
        <v>6031</v>
      </c>
      <c r="G105" s="40"/>
    </row>
    <row r="106" spans="1:7" x14ac:dyDescent="0.2">
      <c r="A106" s="30">
        <v>91</v>
      </c>
      <c r="B106" s="31" t="str">
        <f>Item91!B3</f>
        <v>São Felipe (160.00 e 110.69 m²)</v>
      </c>
      <c r="C106" s="30" t="str">
        <f>Item91!E3</f>
        <v>unidade</v>
      </c>
      <c r="D106" s="30">
        <f>Item91!F3</f>
        <v>1</v>
      </c>
      <c r="E106" s="35">
        <f>Item91!D22</f>
        <v>2730</v>
      </c>
      <c r="F106" s="32">
        <f t="shared" si="2"/>
        <v>2730</v>
      </c>
      <c r="G106" s="40"/>
    </row>
    <row r="107" spans="1:7" x14ac:dyDescent="0.2">
      <c r="A107" s="30">
        <v>92</v>
      </c>
      <c r="B107" s="31" t="str">
        <f>Item92!B3</f>
        <v>São Gonçalo Campos (375.00 e 104.75 m²)</v>
      </c>
      <c r="C107" s="30" t="str">
        <f>Item92!E3</f>
        <v>unidade</v>
      </c>
      <c r="D107" s="30">
        <f>Item92!F3</f>
        <v>1</v>
      </c>
      <c r="E107" s="35">
        <f>Item92!D22</f>
        <v>6841</v>
      </c>
      <c r="F107" s="32">
        <f t="shared" si="2"/>
        <v>6841</v>
      </c>
      <c r="G107" s="40"/>
    </row>
    <row r="108" spans="1:7" x14ac:dyDescent="0.2">
      <c r="A108" s="30">
        <v>93</v>
      </c>
      <c r="B108" s="31" t="str">
        <f>Item93!B3</f>
        <v>São Sebastião do Passé (175.00 e 175.00 m²)</v>
      </c>
      <c r="C108" s="30" t="str">
        <f>Item93!E3</f>
        <v>unidade</v>
      </c>
      <c r="D108" s="30">
        <f>Item93!F3</f>
        <v>1</v>
      </c>
      <c r="E108" s="35">
        <f>Item93!D22</f>
        <v>3150</v>
      </c>
      <c r="F108" s="32">
        <f t="shared" si="2"/>
        <v>3150</v>
      </c>
      <c r="G108" s="40"/>
    </row>
    <row r="109" spans="1:7" x14ac:dyDescent="0.2">
      <c r="A109" s="30">
        <v>94</v>
      </c>
      <c r="B109" s="31" t="str">
        <f>Item94!B3</f>
        <v>Rio Real (130.00 e 130.00 m²)</v>
      </c>
      <c r="C109" s="30" t="str">
        <f>Item94!E3</f>
        <v>unidade</v>
      </c>
      <c r="D109" s="30">
        <f>Item94!F3</f>
        <v>1</v>
      </c>
      <c r="E109" s="35">
        <f>Item94!D22</f>
        <v>2440</v>
      </c>
      <c r="F109" s="32">
        <f t="shared" si="2"/>
        <v>2440</v>
      </c>
      <c r="G109" s="40"/>
    </row>
    <row r="110" spans="1:7" x14ac:dyDescent="0.2">
      <c r="A110" s="79" t="s">
        <v>233</v>
      </c>
      <c r="B110" s="80"/>
      <c r="C110" s="80"/>
      <c r="D110" s="80"/>
      <c r="E110" s="81"/>
      <c r="F110" s="45">
        <f>SUM(F90:F109)</f>
        <v>110830.44</v>
      </c>
      <c r="G110" s="40"/>
    </row>
    <row r="111" spans="1:7" ht="15.75" x14ac:dyDescent="0.25">
      <c r="A111" s="82" t="s">
        <v>40</v>
      </c>
      <c r="B111" s="82"/>
      <c r="C111" s="82"/>
      <c r="D111" s="82"/>
      <c r="E111" s="82"/>
      <c r="F111" s="33">
        <f>F17+F32+F42+F51+F75+F88+F110</f>
        <v>490832.85000000003</v>
      </c>
    </row>
  </sheetData>
  <mergeCells count="16">
    <mergeCell ref="A110:E110"/>
    <mergeCell ref="A1:F1"/>
    <mergeCell ref="A111:E111"/>
    <mergeCell ref="A3:F3"/>
    <mergeCell ref="A17:E17"/>
    <mergeCell ref="A18:F18"/>
    <mergeCell ref="A32:E32"/>
    <mergeCell ref="A33:F33"/>
    <mergeCell ref="A42:E42"/>
    <mergeCell ref="A43:F43"/>
    <mergeCell ref="A51:E51"/>
    <mergeCell ref="A52:F52"/>
    <mergeCell ref="A75:E75"/>
    <mergeCell ref="A76:F76"/>
    <mergeCell ref="A88:E88"/>
    <mergeCell ref="A89:F89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95</vt:i4>
      </vt:variant>
      <vt:variant>
        <vt:lpstr>Intervalos nomeados</vt:lpstr>
      </vt:variant>
      <vt:variant>
        <vt:i4>1</vt:i4>
      </vt:variant>
    </vt:vector>
  </HeadingPairs>
  <TitlesOfParts>
    <vt:vector size="9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Item51</vt:lpstr>
      <vt:lpstr>Item52</vt:lpstr>
      <vt:lpstr>Item53</vt:lpstr>
      <vt:lpstr>Item54</vt:lpstr>
      <vt:lpstr>Item55</vt:lpstr>
      <vt:lpstr>Item56</vt:lpstr>
      <vt:lpstr>Item57</vt:lpstr>
      <vt:lpstr>Item58</vt:lpstr>
      <vt:lpstr>Item59</vt:lpstr>
      <vt:lpstr>Item60</vt:lpstr>
      <vt:lpstr>Item61</vt:lpstr>
      <vt:lpstr>Item62</vt:lpstr>
      <vt:lpstr>Item63</vt:lpstr>
      <vt:lpstr>Item64</vt:lpstr>
      <vt:lpstr>Item65</vt:lpstr>
      <vt:lpstr>Item66</vt:lpstr>
      <vt:lpstr>Item67</vt:lpstr>
      <vt:lpstr>Item68</vt:lpstr>
      <vt:lpstr>Item69</vt:lpstr>
      <vt:lpstr>Item70</vt:lpstr>
      <vt:lpstr>Item71</vt:lpstr>
      <vt:lpstr>Item72</vt:lpstr>
      <vt:lpstr>Item73</vt:lpstr>
      <vt:lpstr>Item74</vt:lpstr>
      <vt:lpstr>Item75</vt:lpstr>
      <vt:lpstr>Item76</vt:lpstr>
      <vt:lpstr>Item77</vt:lpstr>
      <vt:lpstr>Item78</vt:lpstr>
      <vt:lpstr>Item79</vt:lpstr>
      <vt:lpstr>Item80</vt:lpstr>
      <vt:lpstr>Item81</vt:lpstr>
      <vt:lpstr>Item82</vt:lpstr>
      <vt:lpstr>Item83</vt:lpstr>
      <vt:lpstr>Item84</vt:lpstr>
      <vt:lpstr>Item85</vt:lpstr>
      <vt:lpstr>Item86</vt:lpstr>
      <vt:lpstr>Item87</vt:lpstr>
      <vt:lpstr>Item88</vt:lpstr>
      <vt:lpstr>Item89</vt:lpstr>
      <vt:lpstr>Item90</vt:lpstr>
      <vt:lpstr>Item91</vt:lpstr>
      <vt:lpstr>Item92</vt:lpstr>
      <vt:lpstr>Item93</vt:lpstr>
      <vt:lpstr>Item94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2019-01-18T11:48:35Z</cp:lastPrinted>
  <dcterms:created xsi:type="dcterms:W3CDTF">2019-01-16T20:04:04Z</dcterms:created>
  <dcterms:modified xsi:type="dcterms:W3CDTF">2019-10-08T20:03:17Z</dcterms:modified>
</cp:coreProperties>
</file>